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0" windowWidth="5865" windowHeight="3465" tabRatio="941" activeTab="3"/>
  </bookViews>
  <sheets>
    <sheet name="ConventionTaxTable" sheetId="1" r:id="rId1"/>
    <sheet name="TouristTaxTable" sheetId="2" r:id="rId2"/>
    <sheet name="SportsTaxTable" sheetId="3" r:id="rId3"/>
    <sheet name="FoodandBeverageTaxTable" sheetId="4" r:id="rId4"/>
    <sheet name="HomelessTaxTable" sheetId="5" r:id="rId5"/>
  </sheets>
  <definedNames>
    <definedName name="ConventionTaxTable">'ConventionTaxTable'!$A$1:$L$18</definedName>
    <definedName name="FoodandBeverageDistribution">'FoodandBeverageTaxTable'!$A$22:$G$39</definedName>
    <definedName name="FoodandBeverageTaxTable">'FoodandBeverageTaxTable'!$A$1:$I$18</definedName>
    <definedName name="HomlessTaxTable">'HomelessTaxTable'!$A$1:$K$19</definedName>
    <definedName name="MonthlyTable">#REF!</definedName>
    <definedName name="_xlnm.Print_Area" localSheetId="0">'ConventionTaxTable'!$A$51:$L$60</definedName>
    <definedName name="_xlnm.Print_Area" localSheetId="3">'FoodandBeverageTaxTable'!$A$85:$G$94</definedName>
    <definedName name="_xlnm.Print_Area" localSheetId="4">'HomelessTaxTable'!$E$6:$E$18</definedName>
    <definedName name="_xlnm.Print_Area" localSheetId="2">'SportsTaxTable'!$A$51:$I$60</definedName>
    <definedName name="_xlnm.Print_Area" localSheetId="1">'TouristTaxTable'!$A$86:$I$94</definedName>
    <definedName name="SportsTaxTable">'SportsTaxTable'!$A$1:$I$18</definedName>
    <definedName name="TouristDistributionTable">'TouristTaxTable'!$A$22:$I$39</definedName>
    <definedName name="TouristTaxTable">'TouristTaxTable'!$A$1:$I$18</definedName>
    <definedName name="TwoYears">#REF!</definedName>
  </definedNames>
  <calcPr fullCalcOnLoad="1"/>
</workbook>
</file>

<file path=xl/sharedStrings.xml><?xml version="1.0" encoding="utf-8"?>
<sst xmlns="http://schemas.openxmlformats.org/spreadsheetml/2006/main" count="305" uniqueCount="115">
  <si>
    <t xml:space="preserve">Metropolitan Dade County - Convention Development and Tourist </t>
  </si>
  <si>
    <t xml:space="preserve">                                               Analysis of the 3% Convention Development Tax</t>
  </si>
  <si>
    <t xml:space="preserve">                               Fiscal Year</t>
  </si>
  <si>
    <t>-</t>
  </si>
  <si>
    <t xml:space="preserve">Collection </t>
  </si>
  <si>
    <t>Dade County</t>
  </si>
  <si>
    <t>Collection Fee</t>
  </si>
  <si>
    <t>Net Collection Fee</t>
  </si>
  <si>
    <t>Change</t>
  </si>
  <si>
    <t>Distribution</t>
  </si>
  <si>
    <t>Subfund153</t>
  </si>
  <si>
    <t>Pref Arts</t>
  </si>
  <si>
    <t>NET</t>
  </si>
  <si>
    <t>Subfund157</t>
  </si>
  <si>
    <t>Month</t>
  </si>
  <si>
    <t>Year</t>
  </si>
  <si>
    <t xml:space="preserve">Analysis of 1% Professional Sports Franchise Facility </t>
  </si>
  <si>
    <t>for fiscal year</t>
  </si>
  <si>
    <t>Coll.</t>
  </si>
  <si>
    <t>Gross</t>
  </si>
  <si>
    <t>Net</t>
  </si>
  <si>
    <t>% Change</t>
  </si>
  <si>
    <t xml:space="preserve">Distribution </t>
  </si>
  <si>
    <t>Subfund 154</t>
  </si>
  <si>
    <t>Metropolitan Dade County - Convention Development Room Tax</t>
  </si>
  <si>
    <t>Analysis of 2% Tourist  Development Room Tax</t>
  </si>
  <si>
    <t>For Fiscal Year</t>
  </si>
  <si>
    <t>CollectionFee</t>
  </si>
  <si>
    <t xml:space="preserve">  Net            </t>
  </si>
  <si>
    <t>Subfund151</t>
  </si>
  <si>
    <t xml:space="preserve">Metropolitan Dade County - Convention Development And Tourist Tax </t>
  </si>
  <si>
    <t xml:space="preserve">Analysis of 2% Tourist Development Room </t>
  </si>
  <si>
    <t xml:space="preserve">For Fiscal </t>
  </si>
  <si>
    <t>Distribution Month</t>
  </si>
  <si>
    <t>CountySupport</t>
  </si>
  <si>
    <t>Balance</t>
  </si>
  <si>
    <t>GMCVB</t>
  </si>
  <si>
    <t>CulterialAffiars</t>
  </si>
  <si>
    <t>CityOfMiami</t>
  </si>
  <si>
    <t>TotalDist</t>
  </si>
  <si>
    <t>Metropolitan Dade County - Convention Development and Tourist Tax</t>
  </si>
  <si>
    <t>Analysis of 2% Tourist  Development Sur Tax Hotel/Motel Food and Beverage</t>
  </si>
  <si>
    <t>Subfund152</t>
  </si>
  <si>
    <t>Analysis of 2% Tourist Development Sur Tax Hotel/Motel Food and Beverage</t>
  </si>
  <si>
    <t>TDC 100,000</t>
  </si>
  <si>
    <t>Analysis of 1% Homeless &amp; Spouse Abuse Tax</t>
  </si>
  <si>
    <t>Alcoholic License Food and Beverage</t>
  </si>
  <si>
    <t>See Chart</t>
  </si>
  <si>
    <t xml:space="preserve">See Chart </t>
  </si>
  <si>
    <t xml:space="preserve">% </t>
  </si>
  <si>
    <t>Subfund 155</t>
  </si>
  <si>
    <t>Homeless Trust</t>
  </si>
  <si>
    <t>Domestic Violence</t>
  </si>
  <si>
    <t xml:space="preserve"> </t>
  </si>
  <si>
    <t>Total</t>
  </si>
  <si>
    <t>TDC 800,000</t>
  </si>
  <si>
    <t>Qtr.</t>
  </si>
  <si>
    <t xml:space="preserve">    2003-2004</t>
  </si>
  <si>
    <t>Quarterly</t>
  </si>
  <si>
    <t>2003-2004</t>
  </si>
  <si>
    <t xml:space="preserve">               Fiscal Year</t>
  </si>
  <si>
    <t>Subfund154</t>
  </si>
  <si>
    <t xml:space="preserve">                                             Analysis of 1% Professional Sports Franchise Facility </t>
  </si>
  <si>
    <t>Qtr</t>
  </si>
  <si>
    <t xml:space="preserve"> 2003-2004</t>
  </si>
  <si>
    <t>Totals</t>
  </si>
  <si>
    <t xml:space="preserve"> TOTAL</t>
  </si>
  <si>
    <t>TDC 850,000</t>
  </si>
  <si>
    <t>1.46%</t>
  </si>
  <si>
    <t>12.45%</t>
  </si>
  <si>
    <t>8.30%</t>
  </si>
  <si>
    <t>16.77%</t>
  </si>
  <si>
    <t>22.83%</t>
  </si>
  <si>
    <t>12.83%</t>
  </si>
  <si>
    <t>20.53%</t>
  </si>
  <si>
    <t>16.28%</t>
  </si>
  <si>
    <t>13.95%</t>
  </si>
  <si>
    <t>12.70%</t>
  </si>
  <si>
    <t>18.56%</t>
  </si>
  <si>
    <t>14.36%</t>
  </si>
  <si>
    <t>9.11%</t>
  </si>
  <si>
    <t>14.05%</t>
  </si>
  <si>
    <t>16.84%</t>
  </si>
  <si>
    <t>20.52%</t>
  </si>
  <si>
    <t>15.22%</t>
  </si>
  <si>
    <t>20.98%</t>
  </si>
  <si>
    <t>26.64%</t>
  </si>
  <si>
    <t>21.43%</t>
  </si>
  <si>
    <t>18.92%</t>
  </si>
  <si>
    <t>7.81%</t>
  </si>
  <si>
    <t>20.15%</t>
  </si>
  <si>
    <t>-14.00%</t>
  </si>
  <si>
    <t>9.86%</t>
  </si>
  <si>
    <t>8.25%</t>
  </si>
  <si>
    <t>4.30%</t>
  </si>
  <si>
    <t>8.60%</t>
  </si>
  <si>
    <t>2.89%</t>
  </si>
  <si>
    <t>-4.91%</t>
  </si>
  <si>
    <t>18.29%</t>
  </si>
  <si>
    <t>4.27%</t>
  </si>
  <si>
    <t>14.57%</t>
  </si>
  <si>
    <t>-5.25%</t>
  </si>
  <si>
    <t>4.97%</t>
  </si>
  <si>
    <t>-4.06%</t>
  </si>
  <si>
    <t>12.00%</t>
  </si>
  <si>
    <t>1.11%</t>
  </si>
  <si>
    <t>2.69%</t>
  </si>
  <si>
    <t>2.03%</t>
  </si>
  <si>
    <t>24.63%</t>
  </si>
  <si>
    <t>7.77%</t>
  </si>
  <si>
    <t>21.76%</t>
  </si>
  <si>
    <t>10.62%</t>
  </si>
  <si>
    <t>6.41%</t>
  </si>
  <si>
    <t>13.14%</t>
  </si>
  <si>
    <t>11.47%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</si>
</sst>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&quot;$&quot;#,##0"/>
    <numFmt numFmtId="167" formatCode="mmmm"/>
    <numFmt numFmtId="168" formatCode="&quot;$&quot;#,##0;\-0;;@\ "/>
    <numFmt numFmtId="169" formatCode="0.0000"/>
    <numFmt numFmtId="170" formatCode="&quot;$&quot;##,#00;\-0;;@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mm"/>
    <numFmt numFmtId="175" formatCode="&quot;$&quot;#,##0.00;\(&quot;$&quot;#,##0.00\)"/>
    <numFmt numFmtId="176" formatCode="0.0%"/>
    <numFmt numFmtId="177" formatCode="\$#,##0"/>
    <numFmt numFmtId="178" formatCode="\$#,##0;\-0;;@\ "/>
    <numFmt numFmtId="179" formatCode="\$#,##0_);[Red]\(\$#,##0\)"/>
    <numFmt numFmtId="180" formatCode="\$##,#00;\-0;;@\ "/>
  </numFmts>
  <fonts count="43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"/>
      <color indexed="8"/>
      <name val="Arial"/>
      <family val="2"/>
    </font>
    <font>
      <b/>
      <sz val="23"/>
      <color indexed="8"/>
      <name val="Arial"/>
      <family val="2"/>
    </font>
    <font>
      <b/>
      <sz val="27.5"/>
      <color indexed="8"/>
      <name val="Arial"/>
      <family val="2"/>
    </font>
    <font>
      <sz val="9.2"/>
      <color indexed="8"/>
      <name val="Arial"/>
      <family val="2"/>
    </font>
    <font>
      <sz val="19.5"/>
      <color indexed="8"/>
      <name val="Arial"/>
      <family val="2"/>
    </font>
    <font>
      <b/>
      <sz val="21.75"/>
      <color indexed="8"/>
      <name val="Arial"/>
      <family val="2"/>
    </font>
    <font>
      <b/>
      <sz val="23.5"/>
      <color indexed="8"/>
      <name val="Arial"/>
      <family val="2"/>
    </font>
    <font>
      <sz val="7.35"/>
      <color indexed="8"/>
      <name val="Arial"/>
      <family val="2"/>
    </font>
    <font>
      <sz val="20.5"/>
      <color indexed="8"/>
      <name val="Arial"/>
      <family val="2"/>
    </font>
    <font>
      <b/>
      <sz val="20.5"/>
      <color indexed="8"/>
      <name val="Arial"/>
      <family val="2"/>
    </font>
    <font>
      <b/>
      <sz val="24.75"/>
      <color indexed="8"/>
      <name val="Arial"/>
      <family val="2"/>
    </font>
    <font>
      <sz val="11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8.75"/>
      <color indexed="8"/>
      <name val="Arial"/>
      <family val="2"/>
    </font>
    <font>
      <b/>
      <sz val="23.75"/>
      <color indexed="8"/>
      <name val="Arial"/>
      <family val="2"/>
    </font>
    <font>
      <sz val="8.05"/>
      <color indexed="8"/>
      <name val="Arial"/>
      <family val="2"/>
    </font>
    <font>
      <sz val="18.25"/>
      <color indexed="8"/>
      <name val="Arial"/>
      <family val="2"/>
    </font>
    <font>
      <b/>
      <sz val="18.25"/>
      <color indexed="8"/>
      <name val="Arial"/>
      <family val="2"/>
    </font>
    <font>
      <b/>
      <sz val="2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8" fontId="0" fillId="6" borderId="0" xfId="0" applyNumberFormat="1" applyFill="1" applyAlignment="1">
      <alignment/>
    </xf>
    <xf numFmtId="10" fontId="0" fillId="6" borderId="0" xfId="0" applyNumberFormat="1" applyFill="1" applyAlignment="1">
      <alignment/>
    </xf>
    <xf numFmtId="0" fontId="0" fillId="25" borderId="0" xfId="0" applyFill="1" applyAlignment="1">
      <alignment/>
    </xf>
    <xf numFmtId="8" fontId="0" fillId="25" borderId="0" xfId="0" applyNumberFormat="1" applyFill="1" applyAlignment="1">
      <alignment/>
    </xf>
    <xf numFmtId="10" fontId="0" fillId="25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8" borderId="0" xfId="0" applyFill="1" applyAlignment="1">
      <alignment/>
    </xf>
    <xf numFmtId="8" fontId="0" fillId="8" borderId="0" xfId="0" applyNumberFormat="1" applyFill="1" applyAlignment="1">
      <alignment/>
    </xf>
    <xf numFmtId="0" fontId="1" fillId="27" borderId="0" xfId="0" applyFont="1" applyFill="1" applyAlignment="1">
      <alignment/>
    </xf>
    <xf numFmtId="0" fontId="0" fillId="28" borderId="0" xfId="0" applyFill="1" applyAlignment="1">
      <alignment/>
    </xf>
    <xf numFmtId="8" fontId="0" fillId="28" borderId="0" xfId="0" applyNumberFormat="1" applyFill="1" applyAlignment="1">
      <alignment/>
    </xf>
    <xf numFmtId="10" fontId="0" fillId="28" borderId="0" xfId="0" applyNumberFormat="1" applyFill="1" applyAlignment="1">
      <alignment/>
    </xf>
    <xf numFmtId="10" fontId="0" fillId="8" borderId="0" xfId="0" applyNumberFormat="1" applyFill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29" borderId="10" xfId="0" applyFill="1" applyBorder="1" applyAlignment="1">
      <alignment/>
    </xf>
    <xf numFmtId="0" fontId="2" fillId="0" borderId="0" xfId="0" applyFont="1" applyFill="1" applyAlignment="1">
      <alignment horizontal="right"/>
    </xf>
    <xf numFmtId="175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  <xf numFmtId="16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0" fillId="6" borderId="0" xfId="0" applyNumberFormat="1" applyFill="1" applyAlignment="1">
      <alignment/>
    </xf>
    <xf numFmtId="176" fontId="0" fillId="0" borderId="0" xfId="0" applyNumberFormat="1" applyAlignment="1">
      <alignment/>
    </xf>
    <xf numFmtId="8" fontId="0" fillId="24" borderId="0" xfId="0" applyNumberFormat="1" applyFill="1" applyAlignment="1">
      <alignment/>
    </xf>
    <xf numFmtId="10" fontId="0" fillId="24" borderId="0" xfId="0" applyNumberFormat="1" applyFill="1" applyAlignment="1">
      <alignment/>
    </xf>
    <xf numFmtId="1" fontId="0" fillId="24" borderId="0" xfId="0" applyNumberFormat="1" applyFill="1" applyAlignment="1">
      <alignment/>
    </xf>
    <xf numFmtId="165" fontId="0" fillId="27" borderId="0" xfId="0" applyNumberFormat="1" applyFill="1" applyAlignment="1">
      <alignment/>
    </xf>
    <xf numFmtId="10" fontId="0" fillId="27" borderId="0" xfId="0" applyNumberFormat="1" applyFill="1" applyAlignment="1">
      <alignment/>
    </xf>
    <xf numFmtId="165" fontId="0" fillId="29" borderId="10" xfId="0" applyNumberFormat="1" applyFill="1" applyBorder="1" applyAlignment="1">
      <alignment/>
    </xf>
    <xf numFmtId="0" fontId="4" fillId="0" borderId="0" xfId="0" applyFont="1" applyAlignment="1">
      <alignment/>
    </xf>
    <xf numFmtId="165" fontId="0" fillId="8" borderId="0" xfId="0" applyNumberFormat="1" applyFill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5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-0.008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105"/>
          <c:w val="0.8015"/>
          <c:h val="0.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ConventionTaxTable!$D$3:$F$3</c:f>
              <c:strCache>
                <c:ptCount val="1"/>
                <c:pt idx="0">
                  <c:v>2004 - 2005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ConventionTaxTable!$P$6:$P$17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ConventionTaxTable!$C$6:$C$17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ConventionTaxTable!$U$1:$W$1</c:f>
              <c:strCache>
                <c:ptCount val="1"/>
                <c:pt idx="0">
                  <c:v>2003 - 2004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ConventionTaxTable!$U$6:$U$17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1099473"/>
        <c:axId val="13024346"/>
      </c:barChart>
      <c:catAx>
        <c:axId val="6109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24346"/>
        <c:crosses val="autoZero"/>
        <c:auto val="1"/>
        <c:lblOffset val="100"/>
        <c:noMultiLvlLbl val="0"/>
      </c:catAx>
      <c:valAx>
        <c:axId val="13024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9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1"/>
          <c:y val="0.048"/>
          <c:w val="0.0827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3975"/>
          <c:w val="0.837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TouristTaxTable!$D$3:$F$3</c:f>
              <c:strCache>
                <c:ptCount val="1"/>
                <c:pt idx="0">
                  <c:v>2004 - 2005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TouristTaxTable!$N$6:$N$17</c:f>
              <c:strCache/>
            </c:strRef>
          </c:cat>
          <c:val>
            <c:numRef>
              <c:f>TouristTaxTable!$C$6:$C$17</c:f>
              <c:numCache/>
            </c:numRef>
          </c:val>
        </c:ser>
        <c:ser>
          <c:idx val="1"/>
          <c:order val="1"/>
          <c:tx>
            <c:strRef>
              <c:f>TouristTaxTable!$N$2:$P$2</c:f>
              <c:strCache>
                <c:ptCount val="1"/>
                <c:pt idx="0">
                  <c:v>2003 - 2004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TouristTaxTable!$U$6:$U$17</c:f>
              <c:numCache/>
            </c:numRef>
          </c:val>
        </c:ser>
        <c:axId val="50110251"/>
        <c:axId val="48339076"/>
      </c:barChart>
      <c:dateAx>
        <c:axId val="5011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3907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8339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10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75"/>
          <c:y val="0.059"/>
          <c:w val="0.1225"/>
          <c:h val="0.0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Sports Tax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20175"/>
          <c:w val="0.756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SportsTaxTable!$C$3:$E$3</c:f>
              <c:strCache>
                <c:ptCount val="1"/>
                <c:pt idx="0">
                  <c:v>2004 - 2005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SportsTaxTable!$N$6:$N$17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SportsTaxTable!$C$6:$C$17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SportsTaxTable!$M$3:$O$3</c:f>
              <c:strCache>
                <c:ptCount val="1"/>
                <c:pt idx="0">
                  <c:v>2003 - 2004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#,#0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SportsTaxTable!$S$6:$S$17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2398501"/>
        <c:axId val="23151054"/>
      </c:barChart>
      <c:catAx>
        <c:axId val="3239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51054"/>
        <c:crosses val="autoZero"/>
        <c:auto val="1"/>
        <c:lblOffset val="100"/>
        <c:noMultiLvlLbl val="0"/>
      </c:catAx>
      <c:valAx>
        <c:axId val="23151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98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975"/>
          <c:y val="0.06875"/>
          <c:w val="0.14575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and Beverage Tax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02"/>
          <c:w val="0.782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FoodandBeverageTaxTable!$D$3:$F$3</c:f>
              <c:strCache>
                <c:ptCount val="1"/>
                <c:pt idx="0">
                  <c:v>2004 - 2005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FoodandBeverageTaxTable!$O$6:$O$17</c:f>
              <c:strCache/>
            </c:strRef>
          </c:cat>
          <c:val>
            <c:numRef>
              <c:f>FoodandBeverageTaxTable!$C$6:$C$17</c:f>
              <c:numCache/>
            </c:numRef>
          </c:val>
        </c:ser>
        <c:ser>
          <c:idx val="1"/>
          <c:order val="1"/>
          <c:tx>
            <c:strRef>
              <c:f>FoodandBeverageTaxTable!$N$2:$P$2</c:f>
              <c:strCache>
                <c:ptCount val="1"/>
                <c:pt idx="0">
                  <c:v>2003 - 2004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FoodandBeverageTaxTable!$S$6:$S$17</c:f>
              <c:numCache/>
            </c:numRef>
          </c:val>
        </c:ser>
        <c:axId val="7032895"/>
        <c:axId val="63296056"/>
      </c:barChart>
      <c:dateAx>
        <c:axId val="7032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605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3296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2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1"/>
          <c:y val="0.03525"/>
          <c:w val="0.1182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and Spouse Abuse Tax</a:t>
            </a:r>
          </a:p>
        </c:rich>
      </c:tx>
      <c:layout>
        <c:manualLayout>
          <c:xMode val="factor"/>
          <c:yMode val="factor"/>
          <c:x val="-0.005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15"/>
          <c:w val="0.79025"/>
          <c:h val="0.6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HomelessTaxTable!$E$4:$G$4</c:f>
              <c:strCache>
                <c:ptCount val="1"/>
                <c:pt idx="0">
                  <c:v>2004 - 2005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HomelessTaxTable!$R$7:$R$18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HomelessTaxTable!$C$7:$C$18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HomelessTaxTable!$R$1:$T$1</c:f>
              <c:strCache>
                <c:ptCount val="1"/>
                <c:pt idx="0">
                  <c:v>2003 - 2004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HomelessTaxTable!$U$7:$U$18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2793593"/>
        <c:axId val="26706882"/>
      </c:barChart>
      <c:catAx>
        <c:axId val="32793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6882"/>
        <c:crosses val="autoZero"/>
        <c:auto val="1"/>
        <c:lblOffset val="100"/>
        <c:noMultiLvlLbl val="0"/>
      </c:catAx>
      <c:valAx>
        <c:axId val="26706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$Collected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3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325"/>
          <c:y val="0.0315"/>
          <c:w val="0.099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19050</xdr:rowOff>
    </xdr:from>
    <xdr:to>
      <xdr:col>11</xdr:col>
      <xdr:colOff>1085850</xdr:colOff>
      <xdr:row>45</xdr:row>
      <xdr:rowOff>57150</xdr:rowOff>
    </xdr:to>
    <xdr:graphicFrame>
      <xdr:nvGraphicFramePr>
        <xdr:cNvPr id="1" name="Chart 2"/>
        <xdr:cNvGraphicFramePr/>
      </xdr:nvGraphicFramePr>
      <xdr:xfrm>
        <a:off x="47625" y="3095625"/>
        <a:ext cx="102203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28575</xdr:rowOff>
    </xdr:from>
    <xdr:to>
      <xdr:col>9</xdr:col>
      <xdr:colOff>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19050" y="6505575"/>
        <a:ext cx="87153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0</xdr:rowOff>
    </xdr:from>
    <xdr:to>
      <xdr:col>9</xdr:col>
      <xdr:colOff>104775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76200" y="3114675"/>
        <a:ext cx="73437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57150</xdr:rowOff>
    </xdr:from>
    <xdr:to>
      <xdr:col>7</xdr:col>
      <xdr:colOff>504825</xdr:colOff>
      <xdr:row>64</xdr:row>
      <xdr:rowOff>28575</xdr:rowOff>
    </xdr:to>
    <xdr:graphicFrame>
      <xdr:nvGraphicFramePr>
        <xdr:cNvPr id="1" name="Chart 1"/>
        <xdr:cNvGraphicFramePr/>
      </xdr:nvGraphicFramePr>
      <xdr:xfrm>
        <a:off x="0" y="6534150"/>
        <a:ext cx="7096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9525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0" y="3086100"/>
        <a:ext cx="85629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8"/>
  <sheetViews>
    <sheetView zoomScalePageLayoutView="0" workbookViewId="0" topLeftCell="A1">
      <selection activeCell="E49" sqref="E49"/>
    </sheetView>
  </sheetViews>
  <sheetFormatPr defaultColWidth="9.140625" defaultRowHeight="12.75"/>
  <cols>
    <col min="3" max="3" width="16.7109375" style="0" customWidth="1"/>
    <col min="4" max="4" width="16.00390625" style="0" customWidth="1"/>
    <col min="5" max="5" width="17.00390625" style="0" customWidth="1"/>
    <col min="9" max="9" width="16.28125" style="0" customWidth="1"/>
    <col min="11" max="11" width="16.8515625" style="0" customWidth="1"/>
    <col min="12" max="12" width="17.421875" style="0" customWidth="1"/>
    <col min="14" max="14" width="14.8515625" style="0" bestFit="1" customWidth="1"/>
    <col min="16" max="16" width="12.00390625" style="0" bestFit="1" customWidth="1"/>
    <col min="20" max="20" width="14.421875" style="0" bestFit="1" customWidth="1"/>
    <col min="21" max="21" width="11.140625" style="0" bestFit="1" customWidth="1"/>
  </cols>
  <sheetData>
    <row r="1" spans="1:23" ht="12.75">
      <c r="A1" s="4"/>
      <c r="B1" s="4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U1">
        <f>+D3-1</f>
        <v>2003</v>
      </c>
      <c r="V1" t="s">
        <v>3</v>
      </c>
      <c r="W1">
        <f>+D3</f>
        <v>2004</v>
      </c>
    </row>
    <row r="2" spans="1:12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" t="s">
        <v>2</v>
      </c>
      <c r="B3" s="4"/>
      <c r="C3" s="4"/>
      <c r="D3" s="4">
        <f>+B6</f>
        <v>2004</v>
      </c>
      <c r="E3" s="4" t="s">
        <v>3</v>
      </c>
      <c r="F3" s="4">
        <f>+B6+1</f>
        <v>2005</v>
      </c>
      <c r="G3" s="4"/>
      <c r="H3" s="4"/>
      <c r="I3" s="4"/>
      <c r="J3" s="4"/>
      <c r="K3" s="4"/>
      <c r="L3" s="4"/>
    </row>
    <row r="4" spans="1:12" ht="12.75">
      <c r="A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I4" t="s">
        <v>10</v>
      </c>
      <c r="J4" t="s">
        <v>11</v>
      </c>
      <c r="K4" t="s">
        <v>12</v>
      </c>
      <c r="L4" t="s">
        <v>13</v>
      </c>
    </row>
    <row r="5" spans="1:8" ht="12.75">
      <c r="A5" t="s">
        <v>14</v>
      </c>
      <c r="B5" t="s">
        <v>15</v>
      </c>
      <c r="G5" t="s">
        <v>14</v>
      </c>
      <c r="H5" t="s">
        <v>15</v>
      </c>
    </row>
    <row r="6" spans="1:21" ht="12.75">
      <c r="A6" s="29">
        <v>10</v>
      </c>
      <c r="B6" s="29">
        <v>2004</v>
      </c>
      <c r="C6" s="30">
        <v>1686521.09</v>
      </c>
      <c r="D6" s="30">
        <v>33730.42</v>
      </c>
      <c r="E6" s="30">
        <v>1652790.67</v>
      </c>
      <c r="F6" s="31" t="s">
        <v>68</v>
      </c>
      <c r="G6" s="29">
        <v>11</v>
      </c>
      <c r="H6" s="29">
        <v>2004</v>
      </c>
      <c r="I6" s="30">
        <v>550930.22</v>
      </c>
      <c r="J6" s="30">
        <v>0</v>
      </c>
      <c r="K6" s="30">
        <v>550930.22</v>
      </c>
      <c r="L6" s="30">
        <v>1101860.45</v>
      </c>
      <c r="O6">
        <f>IF(A6&gt;0,1,0)</f>
        <v>1</v>
      </c>
      <c r="P6" s="23">
        <f>IF(O6=1,DATE(B6,A6,1),"")</f>
        <v>38261</v>
      </c>
      <c r="T6" s="24">
        <f aca="true" t="shared" si="0" ref="T6:T17">IF(O6=1,(F6+1),"")</f>
        <v>1.0146</v>
      </c>
      <c r="U6" s="22">
        <f>IF(O6=1,C6/T6,"")</f>
        <v>1662252.2077666076</v>
      </c>
    </row>
    <row r="7" spans="1:21" ht="12.75">
      <c r="A7" s="29">
        <v>11</v>
      </c>
      <c r="B7" s="29">
        <v>2004</v>
      </c>
      <c r="C7" s="30">
        <v>2455847.49</v>
      </c>
      <c r="D7" s="30">
        <v>49116.95</v>
      </c>
      <c r="E7" s="30">
        <v>2406730.54</v>
      </c>
      <c r="F7" s="31" t="s">
        <v>69</v>
      </c>
      <c r="G7" s="29">
        <v>12</v>
      </c>
      <c r="H7" s="29">
        <v>2004</v>
      </c>
      <c r="I7" s="30">
        <v>802243.51</v>
      </c>
      <c r="J7" s="30">
        <v>0</v>
      </c>
      <c r="K7" s="30">
        <v>802243.51</v>
      </c>
      <c r="L7" s="30">
        <v>1604487.03</v>
      </c>
      <c r="O7">
        <f aca="true" t="shared" si="1" ref="O7:O17">IF(A7&gt;0,1,0)</f>
        <v>1</v>
      </c>
      <c r="P7" s="23">
        <f aca="true" t="shared" si="2" ref="P7:P17">IF(O7=1,DATE(B7,A7,1),"")</f>
        <v>38292</v>
      </c>
      <c r="T7" s="24">
        <f t="shared" si="0"/>
        <v>1.1245</v>
      </c>
      <c r="U7" s="22">
        <f aca="true" t="shared" si="3" ref="U7:U17">IF(O7=1,C7/T7,"")</f>
        <v>2183946.189417519</v>
      </c>
    </row>
    <row r="8" spans="1:21" ht="12.75">
      <c r="A8" s="29">
        <v>12</v>
      </c>
      <c r="B8" s="29">
        <v>2004</v>
      </c>
      <c r="C8" s="30">
        <v>2817440.84</v>
      </c>
      <c r="D8" s="30">
        <v>56348.82</v>
      </c>
      <c r="E8" s="30">
        <v>2761092.02</v>
      </c>
      <c r="F8" s="31" t="s">
        <v>70</v>
      </c>
      <c r="G8" s="29">
        <v>1</v>
      </c>
      <c r="H8" s="29">
        <v>2005</v>
      </c>
      <c r="I8" s="30">
        <v>920364.01</v>
      </c>
      <c r="J8" s="30">
        <v>0</v>
      </c>
      <c r="K8" s="30">
        <v>920364.01</v>
      </c>
      <c r="L8" s="30">
        <v>1840728.02</v>
      </c>
      <c r="O8">
        <f>IF(A8&gt;0,1,0)</f>
        <v>1</v>
      </c>
      <c r="P8" s="23">
        <f>IF(O8=1,DATE(B8,A8,1),"")</f>
        <v>38322</v>
      </c>
      <c r="T8" s="24">
        <f>IF(O8=1,(F8+1),"")</f>
        <v>1.083</v>
      </c>
      <c r="U8" s="22">
        <f>IF(O8=1,C8/T8,"")</f>
        <v>2601515.087719298</v>
      </c>
    </row>
    <row r="9" spans="1:21" ht="12.75">
      <c r="A9" s="29">
        <v>1</v>
      </c>
      <c r="B9" s="29">
        <v>2005</v>
      </c>
      <c r="C9" s="30">
        <v>3106742.81</v>
      </c>
      <c r="D9" s="30">
        <v>62134.86</v>
      </c>
      <c r="E9" s="30">
        <v>3044607.95</v>
      </c>
      <c r="F9" s="31" t="s">
        <v>71</v>
      </c>
      <c r="G9" s="29">
        <v>2</v>
      </c>
      <c r="H9" s="29">
        <v>2005</v>
      </c>
      <c r="I9" s="30">
        <v>1014869.32</v>
      </c>
      <c r="J9" s="30">
        <v>0</v>
      </c>
      <c r="K9" s="30">
        <v>1014869.32</v>
      </c>
      <c r="L9" s="30">
        <v>2029738.64</v>
      </c>
      <c r="O9">
        <f t="shared" si="1"/>
        <v>1</v>
      </c>
      <c r="P9" s="23">
        <f t="shared" si="2"/>
        <v>38353</v>
      </c>
      <c r="T9" s="24">
        <f t="shared" si="0"/>
        <v>1.1677</v>
      </c>
      <c r="U9" s="22">
        <f t="shared" si="3"/>
        <v>2660565.907339214</v>
      </c>
    </row>
    <row r="10" spans="1:21" ht="12.75">
      <c r="A10" s="29">
        <v>2</v>
      </c>
      <c r="B10" s="29">
        <v>2005</v>
      </c>
      <c r="C10" s="30">
        <v>4151326.54</v>
      </c>
      <c r="D10" s="30">
        <v>83026.53</v>
      </c>
      <c r="E10" s="30">
        <v>4068300.01</v>
      </c>
      <c r="F10" s="31" t="s">
        <v>72</v>
      </c>
      <c r="G10" s="29">
        <v>3</v>
      </c>
      <c r="H10" s="29">
        <v>2005</v>
      </c>
      <c r="I10" s="30">
        <v>1356100</v>
      </c>
      <c r="J10" s="30">
        <v>0</v>
      </c>
      <c r="K10" s="30">
        <v>1356100</v>
      </c>
      <c r="L10" s="30">
        <v>2712200.01</v>
      </c>
      <c r="O10">
        <f t="shared" si="1"/>
        <v>1</v>
      </c>
      <c r="P10" s="23">
        <f t="shared" si="2"/>
        <v>38384</v>
      </c>
      <c r="T10" s="24">
        <f t="shared" si="0"/>
        <v>1.2283</v>
      </c>
      <c r="U10" s="22">
        <f t="shared" si="3"/>
        <v>3379733.403891558</v>
      </c>
    </row>
    <row r="11" spans="1:21" ht="12.75">
      <c r="A11" s="29">
        <v>3</v>
      </c>
      <c r="B11" s="29">
        <v>2005</v>
      </c>
      <c r="C11" s="30">
        <v>4562898.95</v>
      </c>
      <c r="D11" s="30">
        <v>91257.98</v>
      </c>
      <c r="E11" s="30">
        <v>4471640.97</v>
      </c>
      <c r="F11" s="31" t="s">
        <v>73</v>
      </c>
      <c r="G11" s="29">
        <v>4</v>
      </c>
      <c r="H11" s="29">
        <v>2005</v>
      </c>
      <c r="I11" s="30">
        <v>1490546.99</v>
      </c>
      <c r="J11" s="30">
        <v>0</v>
      </c>
      <c r="K11" s="30">
        <v>1490546.99</v>
      </c>
      <c r="L11" s="30">
        <v>2981093.98</v>
      </c>
      <c r="N11" s="46"/>
      <c r="O11">
        <f t="shared" si="1"/>
        <v>1</v>
      </c>
      <c r="P11" s="23">
        <f t="shared" si="2"/>
        <v>38412</v>
      </c>
      <c r="T11" s="24">
        <f t="shared" si="0"/>
        <v>1.1283</v>
      </c>
      <c r="U11" s="22">
        <f t="shared" si="3"/>
        <v>4044047.6380395284</v>
      </c>
    </row>
    <row r="12" spans="1:21" ht="12.75">
      <c r="A12" s="29">
        <v>4</v>
      </c>
      <c r="B12" s="29">
        <v>2005</v>
      </c>
      <c r="C12" s="30">
        <v>5073607.31</v>
      </c>
      <c r="D12" s="30">
        <v>101472.15</v>
      </c>
      <c r="E12" s="30">
        <v>4972135.16</v>
      </c>
      <c r="F12" s="31" t="s">
        <v>74</v>
      </c>
      <c r="G12" s="29">
        <v>5</v>
      </c>
      <c r="H12" s="29">
        <v>2005</v>
      </c>
      <c r="I12" s="30">
        <v>1657378.39</v>
      </c>
      <c r="J12" s="30">
        <v>0</v>
      </c>
      <c r="K12" s="30">
        <v>1657378.39</v>
      </c>
      <c r="L12" s="30">
        <v>3314756.78</v>
      </c>
      <c r="O12">
        <f t="shared" si="1"/>
        <v>1</v>
      </c>
      <c r="P12" s="23">
        <f t="shared" si="2"/>
        <v>38443</v>
      </c>
      <c r="T12" s="24">
        <f t="shared" si="0"/>
        <v>1.2053</v>
      </c>
      <c r="U12" s="22">
        <f>IF(O12=1,C12/T12,"")</f>
        <v>4209414.510910146</v>
      </c>
    </row>
    <row r="13" spans="1:21" ht="12.75">
      <c r="A13" s="29">
        <v>5</v>
      </c>
      <c r="B13" s="29">
        <v>2005</v>
      </c>
      <c r="C13" s="30">
        <v>3942273.64</v>
      </c>
      <c r="D13" s="30">
        <v>78845.47</v>
      </c>
      <c r="E13" s="30">
        <v>3863428.17</v>
      </c>
      <c r="F13" s="31" t="s">
        <v>72</v>
      </c>
      <c r="G13" s="29">
        <v>6</v>
      </c>
      <c r="H13" s="29">
        <v>2005</v>
      </c>
      <c r="I13" s="30">
        <v>1287809.39</v>
      </c>
      <c r="J13" s="30">
        <v>0</v>
      </c>
      <c r="K13" s="30">
        <v>1287809.39</v>
      </c>
      <c r="L13" s="30">
        <v>2575618.78</v>
      </c>
      <c r="O13">
        <f t="shared" si="1"/>
        <v>1</v>
      </c>
      <c r="P13" s="23">
        <f t="shared" si="2"/>
        <v>38473</v>
      </c>
      <c r="T13" s="24">
        <f t="shared" si="0"/>
        <v>1.2283</v>
      </c>
      <c r="U13" s="22">
        <f t="shared" si="3"/>
        <v>3209536.465032973</v>
      </c>
    </row>
    <row r="14" spans="1:21" ht="12.75">
      <c r="A14" s="29">
        <v>6</v>
      </c>
      <c r="B14" s="29">
        <v>2005</v>
      </c>
      <c r="C14" s="30">
        <v>3208310.67</v>
      </c>
      <c r="D14" s="30">
        <v>64166.21</v>
      </c>
      <c r="E14" s="30">
        <v>3144144.46</v>
      </c>
      <c r="F14" s="31" t="s">
        <v>75</v>
      </c>
      <c r="G14" s="29">
        <v>7</v>
      </c>
      <c r="H14" s="29">
        <v>2005</v>
      </c>
      <c r="I14" s="30">
        <v>1048048.15</v>
      </c>
      <c r="J14" s="30">
        <v>0</v>
      </c>
      <c r="K14" s="30">
        <v>1048048.15</v>
      </c>
      <c r="L14" s="30">
        <v>2096096.3</v>
      </c>
      <c r="O14">
        <f t="shared" si="1"/>
        <v>1</v>
      </c>
      <c r="P14" s="23">
        <f t="shared" si="2"/>
        <v>38504</v>
      </c>
      <c r="S14" s="2">
        <f>(F6+F7+F8+F9+F10+F11+F12+F13+F14+F15+F16+F17)/O18</f>
        <v>0.149575</v>
      </c>
      <c r="T14" s="24">
        <f t="shared" si="0"/>
        <v>1.1628</v>
      </c>
      <c r="U14" s="22">
        <f t="shared" si="3"/>
        <v>2759125.103199174</v>
      </c>
    </row>
    <row r="15" spans="1:21" ht="12.75">
      <c r="A15" s="29">
        <v>7</v>
      </c>
      <c r="B15" s="29">
        <v>2005</v>
      </c>
      <c r="C15" s="30">
        <v>2300040.53</v>
      </c>
      <c r="D15" s="30">
        <v>46000.81</v>
      </c>
      <c r="E15" s="30">
        <v>2254039.72</v>
      </c>
      <c r="F15" s="31" t="s">
        <v>76</v>
      </c>
      <c r="G15" s="29">
        <v>8</v>
      </c>
      <c r="H15" s="29">
        <v>2005</v>
      </c>
      <c r="I15" s="30">
        <v>751346.57</v>
      </c>
      <c r="J15" s="30">
        <v>0</v>
      </c>
      <c r="K15" s="30">
        <v>751346.57</v>
      </c>
      <c r="L15" s="30">
        <v>1502693.15</v>
      </c>
      <c r="O15">
        <f t="shared" si="1"/>
        <v>1</v>
      </c>
      <c r="P15" s="23">
        <f t="shared" si="2"/>
        <v>38534</v>
      </c>
      <c r="T15" s="24">
        <f t="shared" si="0"/>
        <v>1.1395</v>
      </c>
      <c r="U15" s="22">
        <f t="shared" si="3"/>
        <v>2018464.7038174637</v>
      </c>
    </row>
    <row r="16" spans="1:21" ht="12.75">
      <c r="A16" s="29">
        <v>8</v>
      </c>
      <c r="B16" s="29">
        <v>2005</v>
      </c>
      <c r="C16" s="30">
        <v>2480457.16</v>
      </c>
      <c r="D16" s="30">
        <v>49609.14</v>
      </c>
      <c r="E16" s="30">
        <v>2430848.02</v>
      </c>
      <c r="F16" s="31" t="s">
        <v>77</v>
      </c>
      <c r="G16" s="29">
        <v>9</v>
      </c>
      <c r="H16" s="29">
        <v>2005</v>
      </c>
      <c r="I16" s="30">
        <v>810282.67</v>
      </c>
      <c r="J16" s="30">
        <v>0</v>
      </c>
      <c r="K16" s="30">
        <v>810282.67</v>
      </c>
      <c r="L16" s="30">
        <v>1620565.34</v>
      </c>
      <c r="O16">
        <f t="shared" si="1"/>
        <v>1</v>
      </c>
      <c r="P16" s="23">
        <f t="shared" si="2"/>
        <v>38565</v>
      </c>
      <c r="T16" s="24">
        <f t="shared" si="0"/>
        <v>1.127</v>
      </c>
      <c r="U16" s="22">
        <f t="shared" si="3"/>
        <v>2200938.030168589</v>
      </c>
    </row>
    <row r="17" spans="1:21" ht="12.75">
      <c r="A17" s="29">
        <v>9</v>
      </c>
      <c r="B17" s="29">
        <v>2005</v>
      </c>
      <c r="C17" s="30">
        <v>2556767.74</v>
      </c>
      <c r="D17" s="30">
        <v>51135.35</v>
      </c>
      <c r="E17" s="30">
        <v>2505632.39</v>
      </c>
      <c r="F17" s="31" t="s">
        <v>78</v>
      </c>
      <c r="G17" s="29">
        <v>10</v>
      </c>
      <c r="H17" s="29">
        <v>2005</v>
      </c>
      <c r="I17" s="30">
        <v>835210.8</v>
      </c>
      <c r="J17" s="30">
        <v>0</v>
      </c>
      <c r="K17" s="30">
        <v>835210.8</v>
      </c>
      <c r="L17" s="30">
        <v>1670421.59</v>
      </c>
      <c r="O17">
        <f t="shared" si="1"/>
        <v>1</v>
      </c>
      <c r="P17" s="23">
        <f t="shared" si="2"/>
        <v>38596</v>
      </c>
      <c r="T17" s="24">
        <f t="shared" si="0"/>
        <v>1.1856</v>
      </c>
      <c r="U17" s="22">
        <f t="shared" si="3"/>
        <v>2156517.9993252363</v>
      </c>
    </row>
    <row r="18" spans="1:21" ht="12.75">
      <c r="A18" s="5"/>
      <c r="B18" s="5"/>
      <c r="C18" s="6">
        <f>SUM(C6:C17)</f>
        <v>38342234.77</v>
      </c>
      <c r="D18" s="6">
        <f>SUM(D6:D17)</f>
        <v>766844.69</v>
      </c>
      <c r="E18" s="6">
        <f>SUM(E6:E17)</f>
        <v>37575390.080000006</v>
      </c>
      <c r="F18" s="7">
        <f>(C18/U18)-1</f>
        <v>0.15886382243107833</v>
      </c>
      <c r="G18" s="5"/>
      <c r="H18" s="5"/>
      <c r="I18" s="6">
        <f>SUM(I6:I17)</f>
        <v>12525130.020000001</v>
      </c>
      <c r="J18" s="6">
        <f>SUM(J6:J17)</f>
        <v>0</v>
      </c>
      <c r="K18" s="6">
        <f>SUM(K6:K17)</f>
        <v>12525130.020000001</v>
      </c>
      <c r="L18" s="6">
        <f>SUM(L6:L17)</f>
        <v>25050260.069999997</v>
      </c>
      <c r="O18" s="3">
        <f>SUM(O6:O17)</f>
        <v>12</v>
      </c>
      <c r="T18" s="21"/>
      <c r="U18" s="22">
        <f>SUM(U6:U17)</f>
        <v>33086057.24662731</v>
      </c>
    </row>
    <row r="51" spans="1:12" ht="12.75">
      <c r="A51" s="4"/>
      <c r="B51" s="4"/>
      <c r="C51" s="4" t="s">
        <v>0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 t="s">
        <v>2</v>
      </c>
      <c r="B53" s="4"/>
      <c r="C53" s="4"/>
      <c r="D53" s="4" t="str">
        <f>+B56</f>
        <v>2003-2004</v>
      </c>
      <c r="E53" s="4" t="s">
        <v>58</v>
      </c>
      <c r="F53" s="4"/>
      <c r="G53" s="4"/>
      <c r="H53" s="4"/>
      <c r="I53" s="4"/>
      <c r="J53" s="4"/>
      <c r="K53" s="4"/>
      <c r="L53" s="4"/>
    </row>
    <row r="54" spans="1:12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10</v>
      </c>
      <c r="J54" t="s">
        <v>11</v>
      </c>
      <c r="K54" t="s">
        <v>12</v>
      </c>
      <c r="L54" t="s">
        <v>13</v>
      </c>
    </row>
    <row r="55" spans="1:8" ht="12.75">
      <c r="A55" t="s">
        <v>56</v>
      </c>
      <c r="B55" t="s">
        <v>15</v>
      </c>
      <c r="G55" t="s">
        <v>56</v>
      </c>
      <c r="H55" t="s">
        <v>15</v>
      </c>
    </row>
    <row r="56" spans="1:15" ht="12.75">
      <c r="A56" s="29">
        <v>1</v>
      </c>
      <c r="B56" s="32" t="s">
        <v>59</v>
      </c>
      <c r="C56" s="30">
        <f>+C6+C7+C8</f>
        <v>6959809.42</v>
      </c>
      <c r="D56" s="30">
        <f>+D6+D7+D8</f>
        <v>139196.19</v>
      </c>
      <c r="E56" s="30">
        <f>+E6+E7+E8</f>
        <v>6820613.23</v>
      </c>
      <c r="F56" s="31">
        <f>(F6+F7+F8)/O56</f>
        <v>0.07403333333333334</v>
      </c>
      <c r="G56" s="29">
        <v>1</v>
      </c>
      <c r="H56" s="32" t="s">
        <v>57</v>
      </c>
      <c r="I56" s="30">
        <f>+I6+I7+I8</f>
        <v>2273537.74</v>
      </c>
      <c r="J56" s="30">
        <f>+J6+J7+J8</f>
        <v>0</v>
      </c>
      <c r="K56" s="30">
        <f>+K6+K7+K8</f>
        <v>2273537.74</v>
      </c>
      <c r="L56" s="30">
        <f>+L6+L7+L8</f>
        <v>4547075.5</v>
      </c>
      <c r="O56" s="33">
        <f>+O6+O7+O8</f>
        <v>3</v>
      </c>
    </row>
    <row r="57" spans="1:15" ht="12.75">
      <c r="A57" s="29">
        <v>2</v>
      </c>
      <c r="B57" s="32" t="s">
        <v>57</v>
      </c>
      <c r="C57" s="30">
        <f>+C9+C10+C11</f>
        <v>11820968.3</v>
      </c>
      <c r="D57" s="30">
        <f>+D9+D10+D11</f>
        <v>236419.37</v>
      </c>
      <c r="E57" s="30">
        <f>+E9+E10+E11</f>
        <v>11584548.93</v>
      </c>
      <c r="F57" s="31">
        <f>(F7+F8+F9)/O57</f>
        <v>0.12506666666666666</v>
      </c>
      <c r="G57" s="29">
        <v>2</v>
      </c>
      <c r="H57" s="32" t="s">
        <v>57</v>
      </c>
      <c r="I57" s="30">
        <f>+I9+I10+I11</f>
        <v>3861516.3099999996</v>
      </c>
      <c r="J57" s="30">
        <v>0</v>
      </c>
      <c r="K57" s="30">
        <f>+K9+K10+K11</f>
        <v>3861516.3099999996</v>
      </c>
      <c r="L57" s="30">
        <f>+L9+L10+L11</f>
        <v>7723032.629999999</v>
      </c>
      <c r="O57" s="33">
        <f>+O9+O10+O11</f>
        <v>3</v>
      </c>
    </row>
    <row r="58" spans="1:15" ht="12.75">
      <c r="A58" s="29">
        <v>3</v>
      </c>
      <c r="B58" s="32" t="s">
        <v>57</v>
      </c>
      <c r="C58" s="30">
        <f>+C12+C13+C14</f>
        <v>12224191.62</v>
      </c>
      <c r="D58" s="30">
        <f>+D12+D13+D14</f>
        <v>244483.83</v>
      </c>
      <c r="E58" s="30">
        <f>+E12+E13+E14</f>
        <v>11979707.79</v>
      </c>
      <c r="F58" s="31">
        <f>(F8+F9+F10)/O58</f>
        <v>0.15966666666666665</v>
      </c>
      <c r="G58" s="29">
        <v>3</v>
      </c>
      <c r="H58" s="32" t="s">
        <v>57</v>
      </c>
      <c r="I58" s="30">
        <f>+I12+I13+I14</f>
        <v>3993235.9299999997</v>
      </c>
      <c r="J58" s="30">
        <f>+J12+J13+J14</f>
        <v>0</v>
      </c>
      <c r="K58" s="30">
        <f>+K12+K13+K14</f>
        <v>3993235.9299999997</v>
      </c>
      <c r="L58" s="30">
        <f>+L12+L13+L14</f>
        <v>7986471.859999999</v>
      </c>
      <c r="O58" s="33">
        <f>+O12+O13+O14</f>
        <v>3</v>
      </c>
    </row>
    <row r="59" spans="1:15" ht="12.75">
      <c r="A59" s="29">
        <v>4</v>
      </c>
      <c r="B59" s="32" t="s">
        <v>57</v>
      </c>
      <c r="C59" s="30">
        <f>+C15+C16+C17</f>
        <v>7337265.43</v>
      </c>
      <c r="D59" s="30">
        <f>+D15+D16+D17</f>
        <v>146745.3</v>
      </c>
      <c r="E59" s="30">
        <f>+E15+E16+E17</f>
        <v>7190520.130000001</v>
      </c>
      <c r="F59" s="31">
        <f>(F9+F10+F11)/O59</f>
        <v>0.17476666666666665</v>
      </c>
      <c r="G59" s="29">
        <v>4</v>
      </c>
      <c r="H59" s="32" t="s">
        <v>57</v>
      </c>
      <c r="I59" s="30">
        <f>+I15+I16+I17</f>
        <v>2396840.04</v>
      </c>
      <c r="J59" s="30">
        <v>0</v>
      </c>
      <c r="K59" s="30">
        <f>+K15+K16+K17</f>
        <v>2396840.04</v>
      </c>
      <c r="L59" s="30">
        <f>+L15+L16+L17</f>
        <v>4793680.08</v>
      </c>
      <c r="O59" s="33">
        <f>+O15+O16+O17</f>
        <v>3</v>
      </c>
    </row>
    <row r="60" spans="1:12" ht="12.75">
      <c r="A60" s="5"/>
      <c r="B60" s="5"/>
      <c r="C60" s="6">
        <f>SUM(C48:C59)</f>
        <v>38342234.769999996</v>
      </c>
      <c r="D60" s="6">
        <f>SUM(D48:D59)</f>
        <v>766844.69</v>
      </c>
      <c r="E60" s="6">
        <f>SUM(E48:E59)</f>
        <v>37575390.08</v>
      </c>
      <c r="F60" s="7">
        <f>+F18</f>
        <v>0.15886382243107833</v>
      </c>
      <c r="G60" s="5"/>
      <c r="H60" s="5"/>
      <c r="I60" s="6">
        <f>SUM(I48:I59)</f>
        <v>12525130.02</v>
      </c>
      <c r="J60" s="6">
        <f>SUM(J48:J59)</f>
        <v>0</v>
      </c>
      <c r="K60" s="6">
        <f>SUM(K48:K59)</f>
        <v>12525130.02</v>
      </c>
      <c r="L60" s="6">
        <f>SUM(L48:L59)</f>
        <v>25050260.07</v>
      </c>
    </row>
    <row r="61" spans="3:12" ht="12.75">
      <c r="C61" s="1"/>
      <c r="D61" s="1"/>
      <c r="E61" s="1"/>
      <c r="F61" s="2"/>
      <c r="I61" s="1"/>
      <c r="J61" s="1"/>
      <c r="K61" s="1"/>
      <c r="L61" s="1"/>
    </row>
    <row r="62" spans="3:12" ht="12.75">
      <c r="C62" s="1"/>
      <c r="D62" s="1"/>
      <c r="E62" s="1"/>
      <c r="F62" s="2"/>
      <c r="I62" s="1"/>
      <c r="J62" s="1"/>
      <c r="K62" s="1"/>
      <c r="L62" s="1"/>
    </row>
    <row r="63" spans="3:12" ht="12.75">
      <c r="C63" s="1"/>
      <c r="D63" s="1"/>
      <c r="E63" s="1"/>
      <c r="F63" s="2"/>
      <c r="I63" s="1"/>
      <c r="J63" s="1"/>
      <c r="K63" s="1"/>
      <c r="L63" s="1"/>
    </row>
    <row r="64" spans="3:12" ht="12.75">
      <c r="C64" s="1"/>
      <c r="D64" s="1"/>
      <c r="E64" s="1"/>
      <c r="F64" s="2"/>
      <c r="I64" s="1"/>
      <c r="J64" s="1"/>
      <c r="K64" s="1"/>
      <c r="L64" s="1"/>
    </row>
    <row r="65" spans="3:12" ht="12.75">
      <c r="C65" s="1"/>
      <c r="D65" s="1"/>
      <c r="E65" s="1"/>
      <c r="F65" s="2"/>
      <c r="I65" s="1"/>
      <c r="J65" s="1"/>
      <c r="K65" s="1"/>
      <c r="L65" s="1"/>
    </row>
    <row r="66" spans="3:12" ht="12.75">
      <c r="C66" s="1"/>
      <c r="D66" s="1"/>
      <c r="E66" s="1"/>
      <c r="F66" s="2"/>
      <c r="I66" s="1"/>
      <c r="J66" s="1"/>
      <c r="K66" s="1"/>
      <c r="L66" s="1"/>
    </row>
    <row r="67" spans="3:12" ht="12.75">
      <c r="C67" s="1"/>
      <c r="D67" s="1"/>
      <c r="E67" s="1"/>
      <c r="F67" s="2"/>
      <c r="I67" s="1"/>
      <c r="J67" s="1"/>
      <c r="K67" s="1"/>
      <c r="L67" s="1"/>
    </row>
    <row r="68" spans="1:12" ht="12.75">
      <c r="A68" s="5"/>
      <c r="B68" s="5"/>
      <c r="C68" s="6"/>
      <c r="D68" s="6"/>
      <c r="E68" s="6"/>
      <c r="F68" s="7"/>
      <c r="G68" s="5"/>
      <c r="H68" s="5"/>
      <c r="I68" s="6"/>
      <c r="J68" s="6"/>
      <c r="K68" s="6"/>
      <c r="L68" s="6"/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scale="8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94"/>
  <sheetViews>
    <sheetView zoomScalePageLayoutView="0" workbookViewId="0" topLeftCell="A1">
      <selection activeCell="I38" sqref="I38"/>
    </sheetView>
  </sheetViews>
  <sheetFormatPr defaultColWidth="9.140625" defaultRowHeight="12.75"/>
  <cols>
    <col min="2" max="2" width="16.7109375" style="0" customWidth="1"/>
    <col min="3" max="3" width="14.140625" style="0" customWidth="1"/>
    <col min="4" max="4" width="14.57421875" style="0" customWidth="1"/>
    <col min="5" max="5" width="15.421875" style="0" customWidth="1"/>
    <col min="6" max="6" width="14.28125" style="0" customWidth="1"/>
    <col min="7" max="7" width="16.57421875" style="0" customWidth="1"/>
    <col min="8" max="8" width="14.8515625" style="0" customWidth="1"/>
    <col min="9" max="9" width="15.28125" style="0" customWidth="1"/>
    <col min="13" max="14" width="9.421875" style="0" bestFit="1" customWidth="1"/>
    <col min="21" max="21" width="11.28125" style="0" customWidth="1"/>
  </cols>
  <sheetData>
    <row r="1" spans="1:9" ht="12.75">
      <c r="A1" s="12"/>
      <c r="B1" s="12"/>
      <c r="C1" s="12" t="s">
        <v>24</v>
      </c>
      <c r="D1" s="12"/>
      <c r="E1" s="12"/>
      <c r="F1" s="12"/>
      <c r="G1" s="12"/>
      <c r="H1" s="12"/>
      <c r="I1" s="12"/>
    </row>
    <row r="2" spans="1:16" ht="12.75">
      <c r="A2" s="12"/>
      <c r="B2" s="12"/>
      <c r="C2" s="12" t="s">
        <v>25</v>
      </c>
      <c r="D2" s="12"/>
      <c r="E2" s="12"/>
      <c r="F2" s="12"/>
      <c r="G2" s="12"/>
      <c r="H2" s="12"/>
      <c r="I2" s="12"/>
      <c r="N2">
        <f>+D3-1</f>
        <v>2003</v>
      </c>
      <c r="O2" t="s">
        <v>3</v>
      </c>
      <c r="P2">
        <f>+D3</f>
        <v>2004</v>
      </c>
    </row>
    <row r="3" spans="1:9" ht="12.75">
      <c r="A3" s="12"/>
      <c r="B3" s="12"/>
      <c r="C3" s="12" t="s">
        <v>26</v>
      </c>
      <c r="D3" s="12">
        <f>+B6</f>
        <v>2004</v>
      </c>
      <c r="E3" s="12" t="s">
        <v>3</v>
      </c>
      <c r="F3" s="12">
        <f>+D3+1</f>
        <v>2005</v>
      </c>
      <c r="G3" s="12"/>
      <c r="H3" s="12"/>
      <c r="I3" s="12"/>
    </row>
    <row r="4" spans="1:9" ht="12.75">
      <c r="A4" s="12"/>
      <c r="B4" s="12" t="s">
        <v>4</v>
      </c>
      <c r="C4" s="12" t="s">
        <v>19</v>
      </c>
      <c r="D4" s="12" t="s">
        <v>27</v>
      </c>
      <c r="E4" s="12" t="s">
        <v>28</v>
      </c>
      <c r="F4" s="12" t="s">
        <v>21</v>
      </c>
      <c r="G4" s="12" t="s">
        <v>22</v>
      </c>
      <c r="H4" s="12"/>
      <c r="I4" s="12" t="s">
        <v>29</v>
      </c>
    </row>
    <row r="5" spans="1:9" ht="12.75">
      <c r="A5" s="12"/>
      <c r="B5" s="12" t="s">
        <v>14</v>
      </c>
      <c r="C5" s="12"/>
      <c r="D5" s="12"/>
      <c r="E5" s="12"/>
      <c r="F5" s="12"/>
      <c r="G5" s="12" t="s">
        <v>14</v>
      </c>
      <c r="H5" s="12"/>
      <c r="I5" s="12"/>
    </row>
    <row r="6" spans="1:21" ht="12.75">
      <c r="A6" s="53">
        <v>10</v>
      </c>
      <c r="B6" s="53">
        <v>2004</v>
      </c>
      <c r="C6" s="54">
        <v>787042.5</v>
      </c>
      <c r="D6" s="54">
        <v>23611.28</v>
      </c>
      <c r="E6" s="54">
        <v>763431.23</v>
      </c>
      <c r="F6" s="55" t="s">
        <v>79</v>
      </c>
      <c r="G6" s="53">
        <v>11</v>
      </c>
      <c r="H6" s="53">
        <v>2004</v>
      </c>
      <c r="I6" s="54">
        <v>763431.23</v>
      </c>
      <c r="L6" s="11">
        <f>IF(A6&gt;0,1,"")</f>
        <v>1</v>
      </c>
      <c r="M6" s="23">
        <f>DATE(B6,A6,1)</f>
        <v>38261</v>
      </c>
      <c r="N6" s="23">
        <f aca="true" t="shared" si="0" ref="N6:N17">IF(A6&gt;0,M6,"")</f>
        <v>38261</v>
      </c>
      <c r="T6" s="24">
        <f aca="true" t="shared" si="1" ref="T6:T17">IF(L6=1,(F6+1),"")</f>
        <v>1.1436</v>
      </c>
      <c r="U6" s="22">
        <f aca="true" t="shared" si="2" ref="U6:U17">IF(L6=1,C6/T6,"")</f>
        <v>688214.8478488983</v>
      </c>
    </row>
    <row r="7" spans="1:21" ht="12.75">
      <c r="A7" s="53">
        <v>11</v>
      </c>
      <c r="B7" s="53">
        <v>2004</v>
      </c>
      <c r="C7" s="54">
        <v>950492.13</v>
      </c>
      <c r="D7" s="54">
        <v>28514.76</v>
      </c>
      <c r="E7" s="54">
        <v>921977.37</v>
      </c>
      <c r="F7" s="55" t="s">
        <v>80</v>
      </c>
      <c r="G7" s="53">
        <v>12</v>
      </c>
      <c r="H7" s="53">
        <v>2004</v>
      </c>
      <c r="I7" s="54">
        <v>921977.37</v>
      </c>
      <c r="J7" s="47"/>
      <c r="L7" s="11">
        <f>IF(A7&gt;0,1,0)</f>
        <v>1</v>
      </c>
      <c r="M7" s="23">
        <f aca="true" t="shared" si="3" ref="M7:M17">DATE(B7,A7,1)</f>
        <v>38292</v>
      </c>
      <c r="N7" s="23">
        <f t="shared" si="0"/>
        <v>38292</v>
      </c>
      <c r="T7" s="24">
        <f t="shared" si="1"/>
        <v>1.0911</v>
      </c>
      <c r="U7" s="22">
        <f t="shared" si="2"/>
        <v>871132.0043992301</v>
      </c>
    </row>
    <row r="8" spans="1:21" ht="12.75">
      <c r="A8" s="53">
        <v>12</v>
      </c>
      <c r="B8" s="53">
        <v>2004</v>
      </c>
      <c r="C8" s="54">
        <v>1182545.72</v>
      </c>
      <c r="D8" s="54">
        <v>35476.37</v>
      </c>
      <c r="E8" s="54">
        <v>1147069.35</v>
      </c>
      <c r="F8" s="55" t="s">
        <v>81</v>
      </c>
      <c r="G8" s="53">
        <v>1</v>
      </c>
      <c r="H8" s="53">
        <v>2005</v>
      </c>
      <c r="I8" s="54">
        <v>1147069.35</v>
      </c>
      <c r="L8" s="11">
        <f>IF(A8&gt;0,1,0)</f>
        <v>1</v>
      </c>
      <c r="M8" s="23">
        <f t="shared" si="3"/>
        <v>38322</v>
      </c>
      <c r="N8" s="23">
        <f t="shared" si="0"/>
        <v>38322</v>
      </c>
      <c r="T8" s="24">
        <f t="shared" si="1"/>
        <v>1.1405</v>
      </c>
      <c r="U8" s="22">
        <f t="shared" si="2"/>
        <v>1036866.0412099955</v>
      </c>
    </row>
    <row r="9" spans="1:21" ht="12.75">
      <c r="A9" s="53">
        <v>1</v>
      </c>
      <c r="B9" s="53">
        <v>2005</v>
      </c>
      <c r="C9" s="54">
        <v>1158264.84</v>
      </c>
      <c r="D9" s="54">
        <v>34747.95</v>
      </c>
      <c r="E9" s="54">
        <v>1123516.89</v>
      </c>
      <c r="F9" s="55" t="s">
        <v>82</v>
      </c>
      <c r="G9" s="53">
        <v>2</v>
      </c>
      <c r="H9" s="53">
        <v>2005</v>
      </c>
      <c r="I9" s="54">
        <v>1123516.89</v>
      </c>
      <c r="L9" s="11">
        <f>IF(A9&gt;0,1,0)</f>
        <v>1</v>
      </c>
      <c r="M9" s="23">
        <f t="shared" si="3"/>
        <v>38353</v>
      </c>
      <c r="N9" s="23">
        <f t="shared" si="0"/>
        <v>38353</v>
      </c>
      <c r="T9" s="24">
        <f t="shared" si="1"/>
        <v>1.1684</v>
      </c>
      <c r="U9" s="22">
        <f t="shared" si="2"/>
        <v>991325.6076686067</v>
      </c>
    </row>
    <row r="10" spans="1:21" ht="12.75">
      <c r="A10" s="53">
        <v>2</v>
      </c>
      <c r="B10" s="53">
        <v>2005</v>
      </c>
      <c r="C10" s="54">
        <v>1523036.43</v>
      </c>
      <c r="D10" s="54">
        <v>45691.09</v>
      </c>
      <c r="E10" s="54">
        <v>1477345.34</v>
      </c>
      <c r="F10" s="55" t="s">
        <v>83</v>
      </c>
      <c r="G10" s="53">
        <v>3</v>
      </c>
      <c r="H10" s="53">
        <v>2005</v>
      </c>
      <c r="I10" s="54">
        <v>1477345.34</v>
      </c>
      <c r="L10" s="11">
        <f aca="true" t="shared" si="4" ref="L10:L17">IF(A10&gt;0,1,0)</f>
        <v>1</v>
      </c>
      <c r="M10" s="23">
        <f t="shared" si="3"/>
        <v>38384</v>
      </c>
      <c r="N10" s="23">
        <f t="shared" si="0"/>
        <v>38384</v>
      </c>
      <c r="T10" s="24">
        <f t="shared" si="1"/>
        <v>1.2052</v>
      </c>
      <c r="U10" s="22">
        <f t="shared" si="2"/>
        <v>1263720.9010952539</v>
      </c>
    </row>
    <row r="11" spans="1:21" ht="12.75">
      <c r="A11" s="53">
        <v>3</v>
      </c>
      <c r="B11" s="53">
        <v>2005</v>
      </c>
      <c r="C11" s="54">
        <v>1729132.09</v>
      </c>
      <c r="D11" s="54">
        <v>51873.96</v>
      </c>
      <c r="E11" s="54">
        <v>1677258.12</v>
      </c>
      <c r="F11" s="55" t="s">
        <v>84</v>
      </c>
      <c r="G11" s="53">
        <v>4</v>
      </c>
      <c r="H11" s="53">
        <v>2005</v>
      </c>
      <c r="I11" s="54">
        <v>1677258.12</v>
      </c>
      <c r="L11" s="11">
        <f t="shared" si="4"/>
        <v>1</v>
      </c>
      <c r="M11" s="23">
        <f t="shared" si="3"/>
        <v>38412</v>
      </c>
      <c r="N11" s="23">
        <f t="shared" si="0"/>
        <v>38412</v>
      </c>
      <c r="T11" s="24">
        <f t="shared" si="1"/>
        <v>1.1522000000000001</v>
      </c>
      <c r="U11" s="22">
        <f t="shared" si="2"/>
        <v>1500722.1749696233</v>
      </c>
    </row>
    <row r="12" spans="1:21" ht="12.75">
      <c r="A12" s="53">
        <v>4</v>
      </c>
      <c r="B12" s="53">
        <v>2005</v>
      </c>
      <c r="C12" s="54">
        <v>1839639.24</v>
      </c>
      <c r="D12" s="54">
        <v>55189.18</v>
      </c>
      <c r="E12" s="54">
        <v>1784450.06</v>
      </c>
      <c r="F12" s="55" t="s">
        <v>85</v>
      </c>
      <c r="G12" s="53">
        <v>5</v>
      </c>
      <c r="H12" s="53">
        <v>2005</v>
      </c>
      <c r="I12" s="54">
        <v>1784450.06</v>
      </c>
      <c r="L12" s="11">
        <f t="shared" si="4"/>
        <v>1</v>
      </c>
      <c r="M12" s="23">
        <f t="shared" si="3"/>
        <v>38443</v>
      </c>
      <c r="N12" s="23">
        <f t="shared" si="0"/>
        <v>38443</v>
      </c>
      <c r="T12" s="24">
        <f t="shared" si="1"/>
        <v>1.2098</v>
      </c>
      <c r="U12" s="22">
        <f t="shared" si="2"/>
        <v>1520614.3494792527</v>
      </c>
    </row>
    <row r="13" spans="1:21" ht="12.75">
      <c r="A13" s="53">
        <v>5</v>
      </c>
      <c r="B13" s="53">
        <v>2005</v>
      </c>
      <c r="C13" s="54">
        <v>1432403.23</v>
      </c>
      <c r="D13" s="54">
        <v>42972.1</v>
      </c>
      <c r="E13" s="54">
        <v>1389431.13</v>
      </c>
      <c r="F13" s="55" t="s">
        <v>86</v>
      </c>
      <c r="G13" s="53">
        <v>6</v>
      </c>
      <c r="H13" s="53">
        <v>2005</v>
      </c>
      <c r="I13" s="54">
        <v>1389431.13</v>
      </c>
      <c r="L13" s="11">
        <f t="shared" si="4"/>
        <v>1</v>
      </c>
      <c r="M13" s="23">
        <f t="shared" si="3"/>
        <v>38473</v>
      </c>
      <c r="N13" s="23">
        <f t="shared" si="0"/>
        <v>38473</v>
      </c>
      <c r="T13" s="24">
        <f t="shared" si="1"/>
        <v>1.2664</v>
      </c>
      <c r="U13" s="22">
        <f t="shared" si="2"/>
        <v>1131082.7779532534</v>
      </c>
    </row>
    <row r="14" spans="1:21" ht="12.75">
      <c r="A14" s="53">
        <v>6</v>
      </c>
      <c r="B14" s="53">
        <v>2005</v>
      </c>
      <c r="C14" s="54">
        <v>1145104.12</v>
      </c>
      <c r="D14" s="54">
        <v>34353.12</v>
      </c>
      <c r="E14" s="54">
        <v>1110751</v>
      </c>
      <c r="F14" s="55" t="s">
        <v>87</v>
      </c>
      <c r="G14" s="53">
        <v>7</v>
      </c>
      <c r="H14" s="53">
        <v>2005</v>
      </c>
      <c r="I14" s="54">
        <v>1110751</v>
      </c>
      <c r="L14" s="11">
        <f t="shared" si="4"/>
        <v>1</v>
      </c>
      <c r="M14" s="23">
        <f t="shared" si="3"/>
        <v>38504</v>
      </c>
      <c r="N14" s="23">
        <f t="shared" si="0"/>
        <v>38504</v>
      </c>
      <c r="T14" s="24">
        <f t="shared" si="1"/>
        <v>1.2143</v>
      </c>
      <c r="U14" s="22">
        <f t="shared" si="2"/>
        <v>943015.828049082</v>
      </c>
    </row>
    <row r="15" spans="1:21" ht="12.75">
      <c r="A15" s="53">
        <v>7</v>
      </c>
      <c r="B15" s="53">
        <v>2005</v>
      </c>
      <c r="C15" s="54">
        <v>920878.05</v>
      </c>
      <c r="D15" s="54">
        <v>27626.34</v>
      </c>
      <c r="E15" s="54">
        <v>893251.71</v>
      </c>
      <c r="F15" s="55" t="s">
        <v>88</v>
      </c>
      <c r="G15" s="53">
        <v>8</v>
      </c>
      <c r="H15" s="53">
        <v>2005</v>
      </c>
      <c r="I15" s="54">
        <v>893251.71</v>
      </c>
      <c r="L15" s="11">
        <f t="shared" si="4"/>
        <v>1</v>
      </c>
      <c r="M15" s="23">
        <f t="shared" si="3"/>
        <v>38534</v>
      </c>
      <c r="N15" s="23">
        <f t="shared" si="0"/>
        <v>38534</v>
      </c>
      <c r="T15" s="24">
        <f t="shared" si="1"/>
        <v>1.1892</v>
      </c>
      <c r="U15" s="22">
        <f t="shared" si="2"/>
        <v>774367.6841574168</v>
      </c>
    </row>
    <row r="16" spans="1:21" ht="12.75">
      <c r="A16" s="53">
        <v>8</v>
      </c>
      <c r="B16" s="53">
        <v>2005</v>
      </c>
      <c r="C16" s="54">
        <v>888270.5</v>
      </c>
      <c r="D16" s="54">
        <v>26648.12</v>
      </c>
      <c r="E16" s="54">
        <v>861622.39</v>
      </c>
      <c r="F16" s="55" t="s">
        <v>89</v>
      </c>
      <c r="G16" s="53">
        <v>9</v>
      </c>
      <c r="H16" s="53">
        <v>2005</v>
      </c>
      <c r="I16" s="54">
        <v>861622.39</v>
      </c>
      <c r="L16" s="11">
        <f t="shared" si="4"/>
        <v>1</v>
      </c>
      <c r="M16" s="23">
        <f t="shared" si="3"/>
        <v>38565</v>
      </c>
      <c r="N16" s="23">
        <f t="shared" si="0"/>
        <v>38565</v>
      </c>
      <c r="T16" s="24">
        <f t="shared" si="1"/>
        <v>1.0781</v>
      </c>
      <c r="U16" s="22">
        <f t="shared" si="2"/>
        <v>823922.1779055746</v>
      </c>
    </row>
    <row r="17" spans="1:21" ht="12.75">
      <c r="A17" s="53">
        <v>9</v>
      </c>
      <c r="B17" s="53">
        <v>2005</v>
      </c>
      <c r="C17" s="54">
        <v>979139.17</v>
      </c>
      <c r="D17" s="54">
        <v>29374.18</v>
      </c>
      <c r="E17" s="54">
        <v>949764.99</v>
      </c>
      <c r="F17" s="55" t="s">
        <v>90</v>
      </c>
      <c r="G17" s="53">
        <v>10</v>
      </c>
      <c r="H17" s="53">
        <v>2005</v>
      </c>
      <c r="I17" s="54">
        <v>949764.99</v>
      </c>
      <c r="L17" s="11">
        <f t="shared" si="4"/>
        <v>1</v>
      </c>
      <c r="M17" s="23">
        <f t="shared" si="3"/>
        <v>38596</v>
      </c>
      <c r="N17" s="23">
        <f t="shared" si="0"/>
        <v>38596</v>
      </c>
      <c r="T17" s="24">
        <f t="shared" si="1"/>
        <v>1.2015</v>
      </c>
      <c r="U17" s="22">
        <f t="shared" si="2"/>
        <v>814930.6450270496</v>
      </c>
    </row>
    <row r="18" spans="1:21" ht="12.75">
      <c r="A18" s="8"/>
      <c r="B18" s="8"/>
      <c r="C18" s="9">
        <f>SUM(C6:C17)</f>
        <v>14535948.020000001</v>
      </c>
      <c r="D18" s="9">
        <f>SUM(D6:D17)</f>
        <v>436078.45</v>
      </c>
      <c r="E18" s="9">
        <f>SUM(E6:E17)</f>
        <v>14099869.58</v>
      </c>
      <c r="F18" s="10">
        <f>(C18/U18)-1</f>
        <v>0.17605565841158466</v>
      </c>
      <c r="G18" s="8"/>
      <c r="H18" s="8"/>
      <c r="I18" s="9">
        <f>SUM(I6:I17)</f>
        <v>14099869.58</v>
      </c>
      <c r="L18" s="11">
        <f>SUM(L6:L17)</f>
        <v>12</v>
      </c>
      <c r="Q18" s="2">
        <f>(F6+F7+F8+F9+F10+F11+F12+F13+F14+F15+F16+F17)/L18</f>
        <v>0.1716916666666667</v>
      </c>
      <c r="U18" s="22">
        <f>SUM(U6:U17)</f>
        <v>12359915.039763236</v>
      </c>
    </row>
    <row r="22" spans="1:9" ht="12.75">
      <c r="A22" s="13"/>
      <c r="B22" s="13"/>
      <c r="C22" s="13" t="s">
        <v>30</v>
      </c>
      <c r="D22" s="13"/>
      <c r="E22" s="13"/>
      <c r="F22" s="13"/>
      <c r="G22" s="13"/>
      <c r="H22" s="13"/>
      <c r="I22" s="13"/>
    </row>
    <row r="23" spans="1:9" ht="12.75">
      <c r="A23" s="13"/>
      <c r="B23" s="13"/>
      <c r="C23" s="13" t="s">
        <v>31</v>
      </c>
      <c r="D23" s="13"/>
      <c r="E23" s="13"/>
      <c r="F23" s="13"/>
      <c r="G23" s="13"/>
      <c r="H23" s="13"/>
      <c r="I23" s="13"/>
    </row>
    <row r="24" spans="1:13" ht="12.75">
      <c r="A24" s="13"/>
      <c r="B24" s="13"/>
      <c r="C24" s="13" t="s">
        <v>32</v>
      </c>
      <c r="D24" s="13">
        <f>+B27</f>
        <v>2004</v>
      </c>
      <c r="E24" s="13" t="s">
        <v>3</v>
      </c>
      <c r="F24" s="13">
        <f>+B27+1</f>
        <v>2005</v>
      </c>
      <c r="G24" s="13"/>
      <c r="H24" s="13"/>
      <c r="I24" s="13"/>
      <c r="M24">
        <f>70833.33*12</f>
        <v>849999.96</v>
      </c>
    </row>
    <row r="25" spans="1:9" ht="12.75">
      <c r="A25" s="13"/>
      <c r="B25" s="13" t="s">
        <v>33</v>
      </c>
      <c r="C25" s="13" t="s">
        <v>34</v>
      </c>
      <c r="D25" s="13" t="s">
        <v>35</v>
      </c>
      <c r="E25" s="13" t="s">
        <v>67</v>
      </c>
      <c r="F25" s="13" t="s">
        <v>36</v>
      </c>
      <c r="G25" s="13" t="s">
        <v>37</v>
      </c>
      <c r="H25" s="13" t="s">
        <v>38</v>
      </c>
      <c r="I25" s="13" t="s">
        <v>39</v>
      </c>
    </row>
    <row r="26" spans="1:2" ht="12.75">
      <c r="A26" t="s">
        <v>14</v>
      </c>
      <c r="B26" t="s">
        <v>15</v>
      </c>
    </row>
    <row r="27" spans="1:9" ht="12.75">
      <c r="A27" s="29">
        <v>11</v>
      </c>
      <c r="B27" s="29">
        <v>2004</v>
      </c>
      <c r="C27" s="30">
        <v>22902.94</v>
      </c>
      <c r="D27" s="30">
        <v>740528.29</v>
      </c>
      <c r="E27" s="30">
        <v>68750</v>
      </c>
      <c r="F27" s="30">
        <v>375566.97</v>
      </c>
      <c r="G27" s="30">
        <v>148105.66</v>
      </c>
      <c r="H27" s="30">
        <v>148105.66</v>
      </c>
      <c r="I27" s="30">
        <v>763431.23</v>
      </c>
    </row>
    <row r="28" spans="1:9" ht="12.75">
      <c r="A28" s="29">
        <v>12</v>
      </c>
      <c r="B28" s="29">
        <v>2004</v>
      </c>
      <c r="C28" s="30">
        <v>27659.32</v>
      </c>
      <c r="D28" s="30">
        <v>894318.05</v>
      </c>
      <c r="E28" s="30">
        <v>68750</v>
      </c>
      <c r="F28" s="30">
        <v>467840.83</v>
      </c>
      <c r="G28" s="30">
        <v>178863.61</v>
      </c>
      <c r="H28" s="30">
        <v>178863.61</v>
      </c>
      <c r="I28" s="30">
        <v>921977.37</v>
      </c>
    </row>
    <row r="29" spans="1:9" ht="12.75">
      <c r="A29" s="29">
        <v>1</v>
      </c>
      <c r="B29" s="29">
        <v>2005</v>
      </c>
      <c r="C29" s="30">
        <v>34412.08</v>
      </c>
      <c r="D29" s="30">
        <v>1112657.27</v>
      </c>
      <c r="E29" s="30">
        <v>68750</v>
      </c>
      <c r="F29" s="30">
        <v>598844.36</v>
      </c>
      <c r="G29" s="30">
        <v>222531.45</v>
      </c>
      <c r="H29" s="30">
        <v>222531.45</v>
      </c>
      <c r="I29" s="30">
        <v>1147069.35</v>
      </c>
    </row>
    <row r="30" spans="1:9" ht="12.75">
      <c r="A30" s="29">
        <v>2</v>
      </c>
      <c r="B30" s="29">
        <v>2005</v>
      </c>
      <c r="C30" s="30">
        <v>33705.51</v>
      </c>
      <c r="D30" s="30">
        <v>1089811.39</v>
      </c>
      <c r="E30" s="30">
        <v>68750</v>
      </c>
      <c r="F30" s="30">
        <v>585136.83</v>
      </c>
      <c r="G30" s="30">
        <v>217962.28</v>
      </c>
      <c r="H30" s="30">
        <v>217962.28</v>
      </c>
      <c r="I30" s="30">
        <v>1123516.89</v>
      </c>
    </row>
    <row r="31" spans="1:9" ht="12.75">
      <c r="A31" s="29">
        <v>3</v>
      </c>
      <c r="B31" s="29">
        <v>2005</v>
      </c>
      <c r="C31" s="30">
        <v>44320.36</v>
      </c>
      <c r="D31" s="30">
        <v>1433024.98</v>
      </c>
      <c r="E31" s="30">
        <v>68750</v>
      </c>
      <c r="F31" s="30">
        <v>791064.99</v>
      </c>
      <c r="G31" s="30">
        <v>286605</v>
      </c>
      <c r="H31" s="30">
        <v>286605</v>
      </c>
      <c r="I31" s="30">
        <v>1477345.34</v>
      </c>
    </row>
    <row r="32" spans="1:9" ht="12.75">
      <c r="A32" s="29">
        <v>4</v>
      </c>
      <c r="B32" s="29">
        <v>2005</v>
      </c>
      <c r="C32" s="30">
        <v>50317.74</v>
      </c>
      <c r="D32" s="30">
        <v>1626940.38</v>
      </c>
      <c r="E32" s="30">
        <v>68750</v>
      </c>
      <c r="F32" s="30">
        <v>907414.23</v>
      </c>
      <c r="G32" s="30">
        <v>325388.08</v>
      </c>
      <c r="H32" s="30">
        <v>325388.08</v>
      </c>
      <c r="I32" s="30">
        <v>1677258.12</v>
      </c>
    </row>
    <row r="33" spans="1:9" ht="12.75">
      <c r="A33" s="29">
        <v>5</v>
      </c>
      <c r="B33" s="29">
        <v>2005</v>
      </c>
      <c r="C33" s="30">
        <v>53533.5</v>
      </c>
      <c r="D33" s="30">
        <v>1730916.56</v>
      </c>
      <c r="E33" s="30">
        <v>68750</v>
      </c>
      <c r="F33" s="30">
        <v>969799.94</v>
      </c>
      <c r="G33" s="30">
        <v>346183.31</v>
      </c>
      <c r="H33" s="30">
        <v>346183.31</v>
      </c>
      <c r="I33" s="30">
        <v>1784450.06</v>
      </c>
    </row>
    <row r="34" spans="1:9" ht="12.75">
      <c r="A34" s="29">
        <v>6</v>
      </c>
      <c r="B34" s="29">
        <v>2005</v>
      </c>
      <c r="C34" s="30">
        <v>41682.93</v>
      </c>
      <c r="D34" s="30">
        <v>1347748.2</v>
      </c>
      <c r="E34" s="30">
        <v>68750</v>
      </c>
      <c r="F34" s="30">
        <v>739898.92</v>
      </c>
      <c r="G34" s="30">
        <v>269549.64</v>
      </c>
      <c r="H34" s="30">
        <v>269549.64</v>
      </c>
      <c r="I34" s="30">
        <v>1389431.13</v>
      </c>
    </row>
    <row r="35" spans="1:9" ht="12.75">
      <c r="A35" s="29">
        <v>7</v>
      </c>
      <c r="B35" s="29">
        <v>2005</v>
      </c>
      <c r="C35" s="30">
        <v>33322.53</v>
      </c>
      <c r="D35" s="30">
        <v>1077428.47</v>
      </c>
      <c r="E35" s="30">
        <v>68750</v>
      </c>
      <c r="F35" s="30">
        <v>577707.08</v>
      </c>
      <c r="G35" s="30">
        <v>215485.69</v>
      </c>
      <c r="H35" s="30">
        <v>215485.69</v>
      </c>
      <c r="I35" s="30">
        <v>1110751</v>
      </c>
    </row>
    <row r="36" spans="1:9" ht="12.75">
      <c r="A36" s="29">
        <v>8</v>
      </c>
      <c r="B36" s="29">
        <v>2005</v>
      </c>
      <c r="C36" s="30">
        <v>26797.55</v>
      </c>
      <c r="D36" s="30">
        <v>866454.15</v>
      </c>
      <c r="E36" s="30">
        <v>68750</v>
      </c>
      <c r="F36" s="30">
        <v>451122.49</v>
      </c>
      <c r="G36" s="30">
        <v>173290.83</v>
      </c>
      <c r="H36" s="30">
        <v>173290.83</v>
      </c>
      <c r="I36" s="30">
        <v>893251.71</v>
      </c>
    </row>
    <row r="37" spans="1:9" ht="12.75">
      <c r="A37" s="29">
        <v>9</v>
      </c>
      <c r="B37" s="29">
        <v>2005</v>
      </c>
      <c r="C37" s="30">
        <v>25848.67</v>
      </c>
      <c r="D37" s="30">
        <v>835773.71</v>
      </c>
      <c r="E37" s="30">
        <v>68750</v>
      </c>
      <c r="F37" s="30">
        <v>432714.23</v>
      </c>
      <c r="G37" s="30">
        <v>167154.74</v>
      </c>
      <c r="H37" s="30">
        <v>167154.74</v>
      </c>
      <c r="I37" s="30">
        <v>861622.39</v>
      </c>
    </row>
    <row r="38" spans="1:9" ht="12.75">
      <c r="A38" s="29">
        <v>10</v>
      </c>
      <c r="B38" s="29">
        <v>2005</v>
      </c>
      <c r="C38" s="30">
        <v>28492.949699999997</v>
      </c>
      <c r="D38" s="30">
        <f>+I17-C38</f>
        <v>921272.0403</v>
      </c>
      <c r="E38" s="30">
        <v>68750</v>
      </c>
      <c r="F38" s="30">
        <v>484013.2241799999</v>
      </c>
      <c r="G38" s="30">
        <v>184254.40806000002</v>
      </c>
      <c r="H38" s="30">
        <v>184254.40806000002</v>
      </c>
      <c r="I38" s="30">
        <f>+C38+E38+F38+G38+H38</f>
        <v>949764.99</v>
      </c>
    </row>
    <row r="39" spans="1:9" ht="12.75">
      <c r="A39" s="14"/>
      <c r="B39" s="14"/>
      <c r="C39" s="15">
        <f aca="true" t="shared" si="5" ref="C39:I39">SUM(C27:C38)</f>
        <v>422996.0797</v>
      </c>
      <c r="D39" s="15">
        <f t="shared" si="5"/>
        <v>13676873.4903</v>
      </c>
      <c r="E39" s="15">
        <f t="shared" si="5"/>
        <v>825000</v>
      </c>
      <c r="F39" s="15">
        <f t="shared" si="5"/>
        <v>7381124.094180001</v>
      </c>
      <c r="G39" s="15">
        <f t="shared" si="5"/>
        <v>2735374.69806</v>
      </c>
      <c r="H39" s="15">
        <f t="shared" si="5"/>
        <v>2735374.69806</v>
      </c>
      <c r="I39" s="15">
        <f t="shared" si="5"/>
        <v>14099869.58</v>
      </c>
    </row>
    <row r="71" spans="1:9" ht="12.75">
      <c r="A71" s="12"/>
      <c r="B71" s="12"/>
      <c r="C71" s="12" t="s">
        <v>24</v>
      </c>
      <c r="D71" s="12"/>
      <c r="E71" s="12"/>
      <c r="F71" s="12"/>
      <c r="G71" s="12"/>
      <c r="H71" s="12"/>
      <c r="I71" s="12"/>
    </row>
    <row r="72" spans="1:9" ht="12.75">
      <c r="A72" s="12"/>
      <c r="B72" s="12"/>
      <c r="C72" s="12" t="s">
        <v>25</v>
      </c>
      <c r="D72" s="12"/>
      <c r="E72" s="12"/>
      <c r="F72" s="12"/>
      <c r="G72" s="12"/>
      <c r="H72" s="12"/>
      <c r="I72" s="12"/>
    </row>
    <row r="73" spans="1:9" ht="12.75">
      <c r="A73" s="12"/>
      <c r="B73" s="12"/>
      <c r="C73" s="12" t="s">
        <v>26</v>
      </c>
      <c r="D73" s="12">
        <f>+B6</f>
        <v>2004</v>
      </c>
      <c r="E73" s="12" t="s">
        <v>3</v>
      </c>
      <c r="F73" s="12">
        <f>+D73+1</f>
        <v>2005</v>
      </c>
      <c r="G73" s="12"/>
      <c r="H73" s="12"/>
      <c r="I73" s="12"/>
    </row>
    <row r="74" spans="1:9" ht="12.75">
      <c r="A74" s="12"/>
      <c r="B74" s="12" t="s">
        <v>4</v>
      </c>
      <c r="C74" s="12" t="s">
        <v>19</v>
      </c>
      <c r="D74" s="12" t="s">
        <v>27</v>
      </c>
      <c r="E74" s="12" t="s">
        <v>28</v>
      </c>
      <c r="F74" s="12" t="s">
        <v>21</v>
      </c>
      <c r="G74" s="12" t="s">
        <v>22</v>
      </c>
      <c r="H74" s="12"/>
      <c r="I74" s="12" t="s">
        <v>29</v>
      </c>
    </row>
    <row r="75" spans="1:9" ht="12.75">
      <c r="A75" s="12" t="s">
        <v>56</v>
      </c>
      <c r="B75" s="12" t="s">
        <v>15</v>
      </c>
      <c r="C75" s="12"/>
      <c r="D75" s="12"/>
      <c r="E75" s="12"/>
      <c r="F75" s="12"/>
      <c r="G75" s="12" t="s">
        <v>63</v>
      </c>
      <c r="H75" s="12"/>
      <c r="I75" s="12"/>
    </row>
    <row r="76" spans="1:15" ht="12.75">
      <c r="A76">
        <v>1</v>
      </c>
      <c r="B76" t="s">
        <v>64</v>
      </c>
      <c r="C76" s="1">
        <f>+C6+C7+C8</f>
        <v>2920080.3499999996</v>
      </c>
      <c r="D76" s="1">
        <f>+D6+D7+D8</f>
        <v>87602.41</v>
      </c>
      <c r="E76" s="1">
        <f>+E6+E7+E8</f>
        <v>2832477.95</v>
      </c>
      <c r="F76" s="36">
        <f>+F6+F7+F8/O76</f>
        <v>0.28153333333333336</v>
      </c>
      <c r="G76" s="11">
        <f aca="true" t="shared" si="6" ref="G76:H79">+A76</f>
        <v>1</v>
      </c>
      <c r="H76" s="1" t="str">
        <f t="shared" si="6"/>
        <v> 2003-2004</v>
      </c>
      <c r="I76" s="1">
        <f>+I6+I7+I8</f>
        <v>2832477.95</v>
      </c>
      <c r="L76" s="11"/>
      <c r="O76" s="11">
        <f>+L6+L7+L8</f>
        <v>3</v>
      </c>
    </row>
    <row r="77" spans="1:15" ht="12.75">
      <c r="A77">
        <v>2</v>
      </c>
      <c r="B77" t="str">
        <f>+B76</f>
        <v> 2003-2004</v>
      </c>
      <c r="C77" s="1">
        <f aca="true" t="shared" si="7" ref="C77:E79">+C9+C10+C11</f>
        <v>4410433.36</v>
      </c>
      <c r="D77" s="1">
        <f t="shared" si="7"/>
        <v>132313</v>
      </c>
      <c r="E77" s="1">
        <f t="shared" si="7"/>
        <v>4278120.35</v>
      </c>
      <c r="F77" s="36">
        <f>+F7+F8+F9/O77</f>
        <v>0.28773333333333334</v>
      </c>
      <c r="G77" s="11">
        <f t="shared" si="6"/>
        <v>2</v>
      </c>
      <c r="H77" s="1" t="str">
        <f t="shared" si="6"/>
        <v> 2003-2004</v>
      </c>
      <c r="I77" s="1">
        <f>+I9+I10+I11</f>
        <v>4278120.35</v>
      </c>
      <c r="L77" s="11"/>
      <c r="O77" s="11">
        <f>+L9+L10+L11</f>
        <v>3</v>
      </c>
    </row>
    <row r="78" spans="1:15" ht="12.75">
      <c r="A78">
        <v>3</v>
      </c>
      <c r="B78" t="str">
        <f>+B76</f>
        <v> 2003-2004</v>
      </c>
      <c r="C78" s="1">
        <f t="shared" si="7"/>
        <v>5091807.76</v>
      </c>
      <c r="D78" s="1">
        <f t="shared" si="7"/>
        <v>152754.22999999998</v>
      </c>
      <c r="E78" s="1">
        <f t="shared" si="7"/>
        <v>4939053.52</v>
      </c>
      <c r="F78" s="36">
        <f>+F8+F9+F10/O78</f>
        <v>0.3773</v>
      </c>
      <c r="G78" s="11">
        <f t="shared" si="6"/>
        <v>3</v>
      </c>
      <c r="H78" s="1" t="str">
        <f t="shared" si="6"/>
        <v> 2003-2004</v>
      </c>
      <c r="I78" s="1">
        <f>+I10+I11+I12</f>
        <v>4939053.52</v>
      </c>
      <c r="O78" s="11">
        <f>+L12+L13+L14</f>
        <v>3</v>
      </c>
    </row>
    <row r="79" spans="1:15" ht="12.75">
      <c r="A79">
        <v>4</v>
      </c>
      <c r="B79" t="str">
        <f>+B76</f>
        <v> 2003-2004</v>
      </c>
      <c r="C79" s="1">
        <f t="shared" si="7"/>
        <v>5001174.5600000005</v>
      </c>
      <c r="D79" s="1">
        <f t="shared" si="7"/>
        <v>150035.24</v>
      </c>
      <c r="E79" s="1">
        <f t="shared" si="7"/>
        <v>4851139.3100000005</v>
      </c>
      <c r="F79" s="36">
        <f>+F9+F10+F11/O79</f>
        <v>0.42433333333333334</v>
      </c>
      <c r="G79" s="11">
        <f t="shared" si="6"/>
        <v>4</v>
      </c>
      <c r="H79" s="1" t="str">
        <f t="shared" si="6"/>
        <v> 2003-2004</v>
      </c>
      <c r="I79" s="1">
        <f>+I11+I12+I13</f>
        <v>4851139.3100000005</v>
      </c>
      <c r="O79" s="11">
        <f>+L15+L16+L17</f>
        <v>3</v>
      </c>
    </row>
    <row r="80" spans="1:9" ht="12.75">
      <c r="A80" s="4" t="s">
        <v>65</v>
      </c>
      <c r="B80" s="4"/>
      <c r="C80" s="37">
        <f>SUM(C76:C79)</f>
        <v>17423496.03</v>
      </c>
      <c r="D80" s="37">
        <f>SUM(D76:D79)</f>
        <v>522704.88</v>
      </c>
      <c r="E80" s="37">
        <f>SUM(E76:E79)</f>
        <v>16900791.130000003</v>
      </c>
      <c r="F80" s="38">
        <f>+F18</f>
        <v>0.17605565841158466</v>
      </c>
      <c r="G80" s="39"/>
      <c r="H80" s="4"/>
      <c r="I80" s="37">
        <f>SUM(I76:I79)</f>
        <v>16900791.130000003</v>
      </c>
    </row>
    <row r="86" spans="1:9" ht="12.75">
      <c r="A86" s="13"/>
      <c r="B86" s="13"/>
      <c r="C86" s="13" t="s">
        <v>30</v>
      </c>
      <c r="D86" s="13"/>
      <c r="E86" s="13"/>
      <c r="F86" s="13"/>
      <c r="G86" s="13"/>
      <c r="H86" s="13"/>
      <c r="I86" s="13"/>
    </row>
    <row r="87" spans="1:9" ht="12.75">
      <c r="A87" s="13"/>
      <c r="B87" s="13"/>
      <c r="C87" s="13" t="s">
        <v>31</v>
      </c>
      <c r="D87" s="13"/>
      <c r="E87" s="13"/>
      <c r="F87" s="13"/>
      <c r="G87" s="13"/>
      <c r="H87" s="13"/>
      <c r="I87" s="13"/>
    </row>
    <row r="88" spans="1:9" ht="12.75">
      <c r="A88" s="13"/>
      <c r="B88" s="12" t="s">
        <v>4</v>
      </c>
      <c r="C88" s="13" t="s">
        <v>32</v>
      </c>
      <c r="D88" s="13">
        <f>+B6</f>
        <v>2004</v>
      </c>
      <c r="E88" s="13" t="s">
        <v>3</v>
      </c>
      <c r="F88" s="13">
        <f>+D88+1</f>
        <v>2005</v>
      </c>
      <c r="G88" s="13"/>
      <c r="H88" s="13"/>
      <c r="I88" s="13"/>
    </row>
    <row r="89" spans="1:9" ht="12.75">
      <c r="A89" s="13" t="s">
        <v>56</v>
      </c>
      <c r="B89" s="12" t="s">
        <v>15</v>
      </c>
      <c r="C89" s="13" t="s">
        <v>34</v>
      </c>
      <c r="D89" s="13" t="s">
        <v>35</v>
      </c>
      <c r="E89" s="13" t="s">
        <v>55</v>
      </c>
      <c r="F89" s="13" t="s">
        <v>36</v>
      </c>
      <c r="G89" s="13" t="s">
        <v>37</v>
      </c>
      <c r="H89" s="13" t="s">
        <v>38</v>
      </c>
      <c r="I89" s="13" t="s">
        <v>39</v>
      </c>
    </row>
    <row r="90" spans="1:9" ht="12.75">
      <c r="A90">
        <f>+A76</f>
        <v>1</v>
      </c>
      <c r="B90" t="s">
        <v>64</v>
      </c>
      <c r="C90" s="1">
        <f aca="true" t="shared" si="8" ref="C90:I90">+C27+C28+C29</f>
        <v>84974.34</v>
      </c>
      <c r="D90" s="1">
        <f t="shared" si="8"/>
        <v>2747503.6100000003</v>
      </c>
      <c r="E90" s="1">
        <f t="shared" si="8"/>
        <v>206250</v>
      </c>
      <c r="F90" s="1">
        <f t="shared" si="8"/>
        <v>1442252.1600000001</v>
      </c>
      <c r="G90" s="1">
        <f t="shared" si="8"/>
        <v>549500.72</v>
      </c>
      <c r="H90" s="1">
        <f t="shared" si="8"/>
        <v>549500.72</v>
      </c>
      <c r="I90" s="1">
        <f t="shared" si="8"/>
        <v>2832477.95</v>
      </c>
    </row>
    <row r="91" spans="1:9" ht="12.75">
      <c r="A91">
        <f>+A77</f>
        <v>2</v>
      </c>
      <c r="B91" t="str">
        <f>+B90</f>
        <v> 2003-2004</v>
      </c>
      <c r="C91" s="1">
        <f>+C30+C31+C32</f>
        <v>128343.60999999999</v>
      </c>
      <c r="D91" s="1">
        <f aca="true" t="shared" si="9" ref="D91:I91">+D30+D31+D32</f>
        <v>4149776.75</v>
      </c>
      <c r="E91" s="1">
        <f t="shared" si="9"/>
        <v>206250</v>
      </c>
      <c r="F91" s="1">
        <f t="shared" si="9"/>
        <v>2283616.05</v>
      </c>
      <c r="G91" s="1">
        <f t="shared" si="9"/>
        <v>829955.3600000001</v>
      </c>
      <c r="H91" s="1">
        <f t="shared" si="9"/>
        <v>829955.3600000001</v>
      </c>
      <c r="I91" s="1">
        <f t="shared" si="9"/>
        <v>4278120.35</v>
      </c>
    </row>
    <row r="92" spans="1:9" ht="12.75">
      <c r="A92">
        <f>+A78</f>
        <v>3</v>
      </c>
      <c r="B92" t="str">
        <f>+B90</f>
        <v> 2003-2004</v>
      </c>
      <c r="C92" s="1">
        <f>+C33+C34+C35</f>
        <v>128538.95999999999</v>
      </c>
      <c r="D92" s="1">
        <f aca="true" t="shared" si="10" ref="D92:I92">+D33+D34+D35</f>
        <v>4156093.2299999995</v>
      </c>
      <c r="E92" s="1">
        <f t="shared" si="10"/>
        <v>206250</v>
      </c>
      <c r="F92" s="1">
        <f t="shared" si="10"/>
        <v>2287405.94</v>
      </c>
      <c r="G92" s="1">
        <f t="shared" si="10"/>
        <v>831218.6399999999</v>
      </c>
      <c r="H92" s="1">
        <f t="shared" si="10"/>
        <v>831218.6399999999</v>
      </c>
      <c r="I92" s="1">
        <f t="shared" si="10"/>
        <v>4284632.1899999995</v>
      </c>
    </row>
    <row r="93" spans="1:9" ht="12.75">
      <c r="A93">
        <f>+A79</f>
        <v>4</v>
      </c>
      <c r="B93" t="str">
        <f>+B90</f>
        <v> 2003-2004</v>
      </c>
      <c r="C93" s="1">
        <f>+C36+C37+C38</f>
        <v>81139.1697</v>
      </c>
      <c r="D93" s="1">
        <f aca="true" t="shared" si="11" ref="D93:I93">+D36+D37+D38</f>
        <v>2623499.9003</v>
      </c>
      <c r="E93" s="1">
        <f t="shared" si="11"/>
        <v>206250</v>
      </c>
      <c r="F93" s="1">
        <f t="shared" si="11"/>
        <v>1367849.9441799999</v>
      </c>
      <c r="G93" s="1">
        <f t="shared" si="11"/>
        <v>524699.97806</v>
      </c>
      <c r="H93" s="1">
        <f t="shared" si="11"/>
        <v>524699.97806</v>
      </c>
      <c r="I93" s="1">
        <f t="shared" si="11"/>
        <v>2704639.09</v>
      </c>
    </row>
    <row r="94" spans="1:9" ht="12.75">
      <c r="A94" s="4" t="s">
        <v>65</v>
      </c>
      <c r="B94" s="4"/>
      <c r="C94" s="37">
        <f aca="true" t="shared" si="12" ref="C94:I94">SUM(C90:C93)</f>
        <v>422996.0797</v>
      </c>
      <c r="D94" s="37">
        <f t="shared" si="12"/>
        <v>13676873.4903</v>
      </c>
      <c r="E94" s="37">
        <f t="shared" si="12"/>
        <v>825000</v>
      </c>
      <c r="F94" s="37">
        <f t="shared" si="12"/>
        <v>7381124.09418</v>
      </c>
      <c r="G94" s="37">
        <f t="shared" si="12"/>
        <v>2735374.69806</v>
      </c>
      <c r="H94" s="37">
        <f t="shared" si="12"/>
        <v>2735374.69806</v>
      </c>
      <c r="I94" s="37">
        <f t="shared" si="12"/>
        <v>14099869.579999998</v>
      </c>
    </row>
  </sheetData>
  <sheetProtection/>
  <printOptions/>
  <pageMargins left="0.75" right="0.75" top="1" bottom="1" header="0.5" footer="0.5"/>
  <pageSetup fitToHeight="0" fitToWidth="1" horizontalDpi="300" verticalDpi="300" orientation="landscape" scale="9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60"/>
  <sheetViews>
    <sheetView zoomScalePageLayoutView="0" workbookViewId="0" topLeftCell="A1">
      <selection activeCell="A6" sqref="A6:I17"/>
    </sheetView>
  </sheetViews>
  <sheetFormatPr defaultColWidth="9.140625" defaultRowHeight="12.75"/>
  <cols>
    <col min="2" max="2" width="11.57421875" style="0" customWidth="1"/>
    <col min="3" max="3" width="17.8515625" style="0" customWidth="1"/>
    <col min="4" max="4" width="15.28125" style="0" customWidth="1"/>
    <col min="5" max="5" width="14.140625" style="0" customWidth="1"/>
    <col min="9" max="9" width="14.28125" style="0" customWidth="1"/>
    <col min="13" max="13" width="12.00390625" style="0" bestFit="1" customWidth="1"/>
    <col min="14" max="14" width="9.421875" style="0" bestFit="1" customWidth="1"/>
    <col min="18" max="18" width="9.57421875" style="0" bestFit="1" customWidth="1"/>
    <col min="19" max="19" width="10.140625" style="0" bestFit="1" customWidth="1"/>
  </cols>
  <sheetData>
    <row r="1" spans="1:9" ht="12.75">
      <c r="A1" s="4"/>
      <c r="B1" s="4" t="s">
        <v>0</v>
      </c>
      <c r="C1" s="4"/>
      <c r="D1" s="4"/>
      <c r="E1" s="4"/>
      <c r="F1" s="4"/>
      <c r="G1" s="4"/>
      <c r="H1" s="4"/>
      <c r="I1" s="4"/>
    </row>
    <row r="2" spans="1:9" ht="12.75">
      <c r="A2" s="4"/>
      <c r="B2" s="4" t="s">
        <v>16</v>
      </c>
      <c r="C2" s="4"/>
      <c r="D2" s="4"/>
      <c r="E2" s="4"/>
      <c r="F2" s="4"/>
      <c r="G2" s="4"/>
      <c r="H2" s="4"/>
      <c r="I2" s="4"/>
    </row>
    <row r="3" spans="1:15" ht="12.75">
      <c r="A3" s="4"/>
      <c r="B3" s="4" t="s">
        <v>17</v>
      </c>
      <c r="C3" s="4">
        <f>+B6</f>
        <v>2004</v>
      </c>
      <c r="D3" s="4" t="s">
        <v>3</v>
      </c>
      <c r="E3" s="4">
        <f>+B6+1</f>
        <v>2005</v>
      </c>
      <c r="F3" s="4"/>
      <c r="G3" s="4"/>
      <c r="H3" s="4"/>
      <c r="I3" s="4"/>
      <c r="M3">
        <f>+B6-1</f>
        <v>2003</v>
      </c>
      <c r="N3" t="s">
        <v>3</v>
      </c>
      <c r="O3">
        <f>+B6</f>
        <v>2004</v>
      </c>
    </row>
    <row r="4" spans="1:9" ht="12.75">
      <c r="A4" s="27" t="s">
        <v>18</v>
      </c>
      <c r="B4" s="27" t="s">
        <v>14</v>
      </c>
      <c r="C4" s="27" t="s">
        <v>19</v>
      </c>
      <c r="D4" t="s">
        <v>6</v>
      </c>
      <c r="E4" t="s">
        <v>20</v>
      </c>
      <c r="F4" t="s">
        <v>21</v>
      </c>
      <c r="G4" t="s">
        <v>22</v>
      </c>
      <c r="H4" t="s">
        <v>14</v>
      </c>
      <c r="I4" t="s">
        <v>23</v>
      </c>
    </row>
    <row r="5" spans="1:3" ht="12.75">
      <c r="A5" s="27" t="s">
        <v>14</v>
      </c>
      <c r="B5" s="28" t="s">
        <v>15</v>
      </c>
      <c r="C5" s="27"/>
    </row>
    <row r="6" spans="1:19" ht="15.75" customHeight="1">
      <c r="A6" s="29">
        <v>10</v>
      </c>
      <c r="B6" s="29">
        <v>2004</v>
      </c>
      <c r="C6" s="30">
        <v>393521.25</v>
      </c>
      <c r="D6" s="30">
        <v>11805.64</v>
      </c>
      <c r="E6" s="30">
        <v>381715.61</v>
      </c>
      <c r="F6" s="31" t="s">
        <v>79</v>
      </c>
      <c r="G6" s="29">
        <v>11</v>
      </c>
      <c r="H6" s="29">
        <v>2004</v>
      </c>
      <c r="I6" s="30">
        <v>381715.61</v>
      </c>
      <c r="L6" s="48">
        <f aca="true" t="shared" si="0" ref="L6:L17">IF(A6&gt;0,1,0)</f>
        <v>1</v>
      </c>
      <c r="M6" s="49">
        <f>DATE(B6,A6,1)</f>
        <v>38261</v>
      </c>
      <c r="N6" s="50">
        <f aca="true" t="shared" si="1" ref="N6:N17">IF(A6&gt;0,M6,"")</f>
        <v>38261</v>
      </c>
      <c r="R6" s="24">
        <f>IF(L6=1,(F6+1),"")</f>
        <v>1.1436</v>
      </c>
      <c r="S6" s="22">
        <f>IF(L6=1,C6/R6,"")</f>
        <v>344107.42392444913</v>
      </c>
    </row>
    <row r="7" spans="1:19" ht="12.75">
      <c r="A7" s="29">
        <v>11</v>
      </c>
      <c r="B7" s="29">
        <v>2004</v>
      </c>
      <c r="C7" s="30">
        <v>475246.07</v>
      </c>
      <c r="D7" s="30">
        <v>14257.38</v>
      </c>
      <c r="E7" s="30">
        <v>460988.68</v>
      </c>
      <c r="F7" s="31" t="s">
        <v>80</v>
      </c>
      <c r="G7" s="29">
        <v>12</v>
      </c>
      <c r="H7" s="29">
        <v>2004</v>
      </c>
      <c r="I7" s="30">
        <v>460988.68</v>
      </c>
      <c r="L7" s="48">
        <f t="shared" si="0"/>
        <v>1</v>
      </c>
      <c r="M7" s="49">
        <f aca="true" t="shared" si="2" ref="M7:M17">DATE(B7,A7,1)</f>
        <v>38292</v>
      </c>
      <c r="N7" s="50">
        <f t="shared" si="1"/>
        <v>38292</v>
      </c>
      <c r="R7" s="24">
        <f aca="true" t="shared" si="3" ref="R7:R17">IF(L7=1,(F7+1),"")</f>
        <v>1.0911</v>
      </c>
      <c r="S7" s="22">
        <f aca="true" t="shared" si="4" ref="S7:S17">IF(L7=1,C7/R7,"")</f>
        <v>435566.00678214646</v>
      </c>
    </row>
    <row r="8" spans="1:19" ht="12.75">
      <c r="A8" s="29">
        <v>12</v>
      </c>
      <c r="B8" s="29">
        <v>2004</v>
      </c>
      <c r="C8" s="30">
        <v>591272.86</v>
      </c>
      <c r="D8" s="30">
        <v>17738.19</v>
      </c>
      <c r="E8" s="30">
        <v>573534.67</v>
      </c>
      <c r="F8" s="31" t="s">
        <v>81</v>
      </c>
      <c r="G8" s="29">
        <v>1</v>
      </c>
      <c r="H8" s="29">
        <v>2005</v>
      </c>
      <c r="I8" s="30">
        <v>573534.67</v>
      </c>
      <c r="L8" s="48">
        <f t="shared" si="0"/>
        <v>1</v>
      </c>
      <c r="M8" s="49">
        <f t="shared" si="2"/>
        <v>38322</v>
      </c>
      <c r="N8" s="50">
        <f t="shared" si="1"/>
        <v>38322</v>
      </c>
      <c r="R8" s="24">
        <f t="shared" si="3"/>
        <v>1.1405</v>
      </c>
      <c r="S8" s="22">
        <f t="shared" si="4"/>
        <v>518433.02060499776</v>
      </c>
    </row>
    <row r="9" spans="1:19" ht="12.75">
      <c r="A9" s="29">
        <v>1</v>
      </c>
      <c r="B9" s="29">
        <v>2005</v>
      </c>
      <c r="C9" s="30">
        <v>579132.42</v>
      </c>
      <c r="D9" s="30">
        <v>17373.97</v>
      </c>
      <c r="E9" s="30">
        <v>561758.45</v>
      </c>
      <c r="F9" s="31" t="s">
        <v>82</v>
      </c>
      <c r="G9" s="29">
        <v>2</v>
      </c>
      <c r="H9" s="29">
        <v>2005</v>
      </c>
      <c r="I9" s="30">
        <v>561758.45</v>
      </c>
      <c r="L9" s="48">
        <f t="shared" si="0"/>
        <v>1</v>
      </c>
      <c r="M9" s="49">
        <f t="shared" si="2"/>
        <v>38353</v>
      </c>
      <c r="N9" s="50">
        <f t="shared" si="1"/>
        <v>38353</v>
      </c>
      <c r="R9" s="24">
        <f t="shared" si="3"/>
        <v>1.1684</v>
      </c>
      <c r="S9" s="22">
        <f t="shared" si="4"/>
        <v>495662.80383430334</v>
      </c>
    </row>
    <row r="10" spans="1:19" ht="12.75">
      <c r="A10" s="29">
        <v>2</v>
      </c>
      <c r="B10" s="29">
        <v>2005</v>
      </c>
      <c r="C10" s="30">
        <v>761518.22</v>
      </c>
      <c r="D10" s="30">
        <v>22845.55</v>
      </c>
      <c r="E10" s="30">
        <v>738672.67</v>
      </c>
      <c r="F10" s="31" t="s">
        <v>83</v>
      </c>
      <c r="G10" s="29">
        <v>3</v>
      </c>
      <c r="H10" s="29">
        <v>2005</v>
      </c>
      <c r="I10" s="30">
        <v>738672.67</v>
      </c>
      <c r="L10" s="48">
        <f t="shared" si="0"/>
        <v>1</v>
      </c>
      <c r="M10" s="49">
        <f t="shared" si="2"/>
        <v>38384</v>
      </c>
      <c r="N10" s="50">
        <f t="shared" si="1"/>
        <v>38384</v>
      </c>
      <c r="R10" s="24">
        <f t="shared" si="3"/>
        <v>1.2052</v>
      </c>
      <c r="S10" s="22">
        <f t="shared" si="4"/>
        <v>631860.4546963159</v>
      </c>
    </row>
    <row r="11" spans="1:19" ht="12.75">
      <c r="A11" s="29">
        <v>3</v>
      </c>
      <c r="B11" s="29">
        <v>2005</v>
      </c>
      <c r="C11" s="30">
        <v>864566.04</v>
      </c>
      <c r="D11" s="30">
        <v>25936.98</v>
      </c>
      <c r="E11" s="30">
        <v>838629.06</v>
      </c>
      <c r="F11" s="31" t="s">
        <v>84</v>
      </c>
      <c r="G11" s="29">
        <v>4</v>
      </c>
      <c r="H11" s="29">
        <v>2005</v>
      </c>
      <c r="I11" s="30">
        <v>838629.06</v>
      </c>
      <c r="L11" s="48">
        <f t="shared" si="0"/>
        <v>1</v>
      </c>
      <c r="M11" s="49">
        <f t="shared" si="2"/>
        <v>38412</v>
      </c>
      <c r="N11" s="50">
        <f t="shared" si="1"/>
        <v>38412</v>
      </c>
      <c r="R11" s="24">
        <f t="shared" si="3"/>
        <v>1.1522000000000001</v>
      </c>
      <c r="S11" s="22">
        <f t="shared" si="4"/>
        <v>750361.0831452872</v>
      </c>
    </row>
    <row r="12" spans="1:19" ht="12.75">
      <c r="A12" s="29">
        <v>4</v>
      </c>
      <c r="B12" s="29">
        <v>2005</v>
      </c>
      <c r="C12" s="30">
        <v>919819.62</v>
      </c>
      <c r="D12" s="30">
        <v>27594.59</v>
      </c>
      <c r="E12" s="30">
        <v>892225.03</v>
      </c>
      <c r="F12" s="31" t="s">
        <v>85</v>
      </c>
      <c r="G12" s="29">
        <v>5</v>
      </c>
      <c r="H12" s="29">
        <v>2005</v>
      </c>
      <c r="I12" s="30">
        <v>892225.03</v>
      </c>
      <c r="L12" s="48">
        <f t="shared" si="0"/>
        <v>1</v>
      </c>
      <c r="M12" s="49">
        <f t="shared" si="2"/>
        <v>38443</v>
      </c>
      <c r="N12" s="50">
        <f t="shared" si="1"/>
        <v>38443</v>
      </c>
      <c r="R12" s="24">
        <f t="shared" si="3"/>
        <v>1.2098</v>
      </c>
      <c r="S12" s="22">
        <f t="shared" si="4"/>
        <v>760307.1747396264</v>
      </c>
    </row>
    <row r="13" spans="1:19" ht="12.75">
      <c r="A13" s="29">
        <v>5</v>
      </c>
      <c r="B13" s="29">
        <v>2005</v>
      </c>
      <c r="C13" s="30">
        <v>716201.61</v>
      </c>
      <c r="D13" s="30">
        <v>21486.05</v>
      </c>
      <c r="E13" s="30">
        <v>694715.56</v>
      </c>
      <c r="F13" s="31" t="s">
        <v>86</v>
      </c>
      <c r="G13" s="29">
        <v>6</v>
      </c>
      <c r="H13" s="29">
        <v>2005</v>
      </c>
      <c r="I13" s="30">
        <v>694715.56</v>
      </c>
      <c r="L13" s="48">
        <f t="shared" si="0"/>
        <v>1</v>
      </c>
      <c r="M13" s="49">
        <f t="shared" si="2"/>
        <v>38473</v>
      </c>
      <c r="N13" s="50">
        <f t="shared" si="1"/>
        <v>38473</v>
      </c>
      <c r="R13" s="24">
        <f t="shared" si="3"/>
        <v>1.2664</v>
      </c>
      <c r="S13" s="22">
        <f t="shared" si="4"/>
        <v>565541.385028427</v>
      </c>
    </row>
    <row r="14" spans="1:19" ht="12.75">
      <c r="A14" s="29">
        <v>6</v>
      </c>
      <c r="B14" s="29">
        <v>2005</v>
      </c>
      <c r="C14" s="30">
        <v>572552.06</v>
      </c>
      <c r="D14" s="30">
        <v>17176.56</v>
      </c>
      <c r="E14" s="30">
        <v>555375.5</v>
      </c>
      <c r="F14" s="31" t="s">
        <v>87</v>
      </c>
      <c r="G14" s="29">
        <v>7</v>
      </c>
      <c r="H14" s="29">
        <v>2005</v>
      </c>
      <c r="I14" s="30">
        <v>555375.5</v>
      </c>
      <c r="L14" s="48">
        <f t="shared" si="0"/>
        <v>1</v>
      </c>
      <c r="M14" s="49">
        <f t="shared" si="2"/>
        <v>38504</v>
      </c>
      <c r="N14" s="50">
        <f t="shared" si="1"/>
        <v>38504</v>
      </c>
      <c r="R14" s="24">
        <f t="shared" si="3"/>
        <v>1.2143</v>
      </c>
      <c r="S14" s="22">
        <f t="shared" si="4"/>
        <v>471507.914024541</v>
      </c>
    </row>
    <row r="15" spans="1:19" ht="12.75">
      <c r="A15" s="29">
        <v>7</v>
      </c>
      <c r="B15" s="29">
        <v>2005</v>
      </c>
      <c r="C15" s="30">
        <v>460439.02</v>
      </c>
      <c r="D15" s="30">
        <v>13813.17</v>
      </c>
      <c r="E15" s="30">
        <v>446625.85</v>
      </c>
      <c r="F15" s="31" t="s">
        <v>88</v>
      </c>
      <c r="G15" s="29">
        <v>8</v>
      </c>
      <c r="H15" s="29">
        <v>2005</v>
      </c>
      <c r="I15" s="30">
        <v>446625.85</v>
      </c>
      <c r="L15" s="48">
        <f t="shared" si="0"/>
        <v>1</v>
      </c>
      <c r="M15" s="49">
        <f t="shared" si="2"/>
        <v>38534</v>
      </c>
      <c r="N15" s="50">
        <f t="shared" si="1"/>
        <v>38534</v>
      </c>
      <c r="R15" s="24">
        <f t="shared" si="3"/>
        <v>1.1892</v>
      </c>
      <c r="S15" s="22">
        <f t="shared" si="4"/>
        <v>387183.8378742011</v>
      </c>
    </row>
    <row r="16" spans="1:19" ht="12.75">
      <c r="A16" s="29">
        <v>8</v>
      </c>
      <c r="B16" s="29">
        <v>2005</v>
      </c>
      <c r="C16" s="30">
        <v>444135.25</v>
      </c>
      <c r="D16" s="30">
        <v>13324.06</v>
      </c>
      <c r="E16" s="30">
        <v>430811.19</v>
      </c>
      <c r="F16" s="31" t="s">
        <v>89</v>
      </c>
      <c r="G16" s="29">
        <v>9</v>
      </c>
      <c r="H16" s="29">
        <v>2005</v>
      </c>
      <c r="I16" s="30">
        <v>430811.19</v>
      </c>
      <c r="L16" s="48">
        <f t="shared" si="0"/>
        <v>1</v>
      </c>
      <c r="M16" s="49">
        <f t="shared" si="2"/>
        <v>38565</v>
      </c>
      <c r="N16" s="50">
        <f t="shared" si="1"/>
        <v>38565</v>
      </c>
      <c r="R16" s="24">
        <f t="shared" si="3"/>
        <v>1.0781</v>
      </c>
      <c r="S16" s="22">
        <f t="shared" si="4"/>
        <v>411961.0889527873</v>
      </c>
    </row>
    <row r="17" spans="1:19" ht="12.75">
      <c r="A17" s="29">
        <v>9</v>
      </c>
      <c r="B17" s="29">
        <v>2005</v>
      </c>
      <c r="C17" s="30">
        <v>489569.58</v>
      </c>
      <c r="D17" s="30">
        <v>14687.09</v>
      </c>
      <c r="E17" s="30">
        <v>474882.5</v>
      </c>
      <c r="F17" s="31" t="s">
        <v>90</v>
      </c>
      <c r="G17" s="29">
        <v>10</v>
      </c>
      <c r="H17" s="29">
        <v>2005</v>
      </c>
      <c r="I17" s="30">
        <v>474882.5</v>
      </c>
      <c r="L17" s="48">
        <f t="shared" si="0"/>
        <v>1</v>
      </c>
      <c r="M17" s="49">
        <f t="shared" si="2"/>
        <v>38596</v>
      </c>
      <c r="N17" s="50">
        <f t="shared" si="1"/>
        <v>38596</v>
      </c>
      <c r="R17" s="24">
        <f t="shared" si="3"/>
        <v>1.2015</v>
      </c>
      <c r="S17" s="22">
        <f t="shared" si="4"/>
        <v>407465.3183520599</v>
      </c>
    </row>
    <row r="18" spans="1:19" ht="12.75">
      <c r="A18" s="8"/>
      <c r="B18" s="8"/>
      <c r="C18" s="9">
        <f>SUM(C6:C17)</f>
        <v>7267974</v>
      </c>
      <c r="D18" s="9">
        <f>SUM(D6:D17)</f>
        <v>218039.22999999998</v>
      </c>
      <c r="E18" s="9">
        <f>SUM(E6:E17)</f>
        <v>7049934.7700000005</v>
      </c>
      <c r="F18" s="10">
        <f>(C18/S18)-1</f>
        <v>0.17605565830111014</v>
      </c>
      <c r="G18" s="8"/>
      <c r="H18" s="8"/>
      <c r="I18" s="9">
        <f>SUM(I6:I17)</f>
        <v>7049934.7700000005</v>
      </c>
      <c r="L18" s="48">
        <f>SUM(L6:L17)</f>
        <v>12</v>
      </c>
      <c r="M18" s="51"/>
      <c r="N18" s="51"/>
      <c r="Q18" s="2">
        <f>(F6+F7+F8+F9+F10+F11+F12+F13+F14+F15+F16+F17)/L18</f>
        <v>0.1716916666666667</v>
      </c>
      <c r="S18" s="22">
        <f>SUM(S6:S17)</f>
        <v>6179957.511959143</v>
      </c>
    </row>
    <row r="51" spans="1:12" ht="12.75">
      <c r="A51" s="4"/>
      <c r="B51" s="4"/>
      <c r="C51" s="4" t="s">
        <v>0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 t="s">
        <v>62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 t="s">
        <v>60</v>
      </c>
      <c r="B53" s="4"/>
      <c r="C53" s="4"/>
      <c r="D53" s="4" t="str">
        <f>+B56</f>
        <v>2003-2004</v>
      </c>
      <c r="E53" s="4" t="s">
        <v>58</v>
      </c>
      <c r="F53" s="4"/>
      <c r="G53" s="4"/>
      <c r="H53" s="4"/>
      <c r="I53" s="4"/>
      <c r="J53" s="4"/>
      <c r="K53" s="4"/>
      <c r="L53" s="4"/>
    </row>
    <row r="54" spans="1:9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61</v>
      </c>
    </row>
    <row r="55" spans="1:8" ht="12.75">
      <c r="A55" t="s">
        <v>56</v>
      </c>
      <c r="B55" t="s">
        <v>15</v>
      </c>
      <c r="G55" t="s">
        <v>56</v>
      </c>
      <c r="H55" t="s">
        <v>15</v>
      </c>
    </row>
    <row r="56" spans="1:15" ht="12.75">
      <c r="A56" s="29">
        <v>1</v>
      </c>
      <c r="B56" s="32" t="s">
        <v>59</v>
      </c>
      <c r="C56" s="30">
        <f>+C6+C7+C8</f>
        <v>1460040.1800000002</v>
      </c>
      <c r="D56" s="30">
        <f>+D6+D7+D8</f>
        <v>43801.20999999999</v>
      </c>
      <c r="E56" s="30">
        <f>+E6+E7+E8</f>
        <v>1416238.96</v>
      </c>
      <c r="F56" s="31">
        <f>(F6+F7+F8)/O56</f>
        <v>0.1250666666666667</v>
      </c>
      <c r="G56" s="29">
        <v>1</v>
      </c>
      <c r="H56" s="32" t="s">
        <v>57</v>
      </c>
      <c r="I56" s="30">
        <f>+I6+I7+I8</f>
        <v>1416238.96</v>
      </c>
      <c r="J56" s="30"/>
      <c r="K56" s="30"/>
      <c r="L56" s="34">
        <f>+L6+L7+L8</f>
        <v>3</v>
      </c>
      <c r="O56" s="33">
        <f>+L6+L7+L8</f>
        <v>3</v>
      </c>
    </row>
    <row r="57" spans="1:15" ht="12.75">
      <c r="A57" s="29">
        <v>2</v>
      </c>
      <c r="B57" s="32" t="s">
        <v>57</v>
      </c>
      <c r="C57" s="30">
        <f>+C9+C10+C11</f>
        <v>2205216.68</v>
      </c>
      <c r="D57" s="30">
        <f>+D9+D10+D11</f>
        <v>66156.5</v>
      </c>
      <c r="E57" s="30">
        <f>+E9+E10+E11</f>
        <v>2139060.18</v>
      </c>
      <c r="F57" s="31">
        <f>(F7+F8+F9)/O57</f>
        <v>0.2</v>
      </c>
      <c r="G57" s="29">
        <v>2</v>
      </c>
      <c r="H57" s="32" t="s">
        <v>57</v>
      </c>
      <c r="I57" s="30">
        <f>+I9+I10+I11</f>
        <v>2139060.18</v>
      </c>
      <c r="J57" s="30"/>
      <c r="K57" s="30"/>
      <c r="L57" s="34">
        <f>+L9+L10+L11</f>
        <v>3</v>
      </c>
      <c r="O57" s="33">
        <f>+L9+L10</f>
        <v>2</v>
      </c>
    </row>
    <row r="58" spans="1:15" ht="12.75">
      <c r="A58" s="29">
        <v>3</v>
      </c>
      <c r="B58" s="32" t="s">
        <v>57</v>
      </c>
      <c r="C58" s="30">
        <f>+C12+C13+C14</f>
        <v>2208573.29</v>
      </c>
      <c r="D58" s="30">
        <f>+D12+D13+D14</f>
        <v>66257.2</v>
      </c>
      <c r="E58" s="30">
        <f>+E12+E13+E14</f>
        <v>2142316.09</v>
      </c>
      <c r="F58" s="31">
        <f>(F8+F9+F10)/O58</f>
        <v>0.25705</v>
      </c>
      <c r="G58" s="29">
        <v>3</v>
      </c>
      <c r="H58" s="32" t="s">
        <v>57</v>
      </c>
      <c r="I58" s="30">
        <f>+I12+I13+I14</f>
        <v>2142316.09</v>
      </c>
      <c r="J58" s="30"/>
      <c r="K58" s="30"/>
      <c r="L58" s="34">
        <f>+L12+L13+L14</f>
        <v>3</v>
      </c>
      <c r="O58" s="33">
        <f>+L10+L11</f>
        <v>2</v>
      </c>
    </row>
    <row r="59" spans="1:15" ht="12.75">
      <c r="A59" s="29">
        <v>4</v>
      </c>
      <c r="B59" s="32" t="s">
        <v>57</v>
      </c>
      <c r="C59" s="30">
        <f>+C15+C16+C17</f>
        <v>1394143.85</v>
      </c>
      <c r="D59" s="30">
        <f>+D15+D16+D17</f>
        <v>41824.32</v>
      </c>
      <c r="E59" s="30">
        <f>+E15+E16+E17</f>
        <v>1352319.54</v>
      </c>
      <c r="F59" s="31">
        <f>(F9+F10+F11)/O59</f>
        <v>0.2629</v>
      </c>
      <c r="G59" s="29">
        <v>4</v>
      </c>
      <c r="H59" s="32" t="s">
        <v>57</v>
      </c>
      <c r="I59" s="30">
        <f>+I15+I16+I17</f>
        <v>1352319.54</v>
      </c>
      <c r="J59" s="30"/>
      <c r="K59" s="30"/>
      <c r="L59" s="34">
        <f>+L15+L16+L17</f>
        <v>3</v>
      </c>
      <c r="O59" s="33">
        <f>+L11+L12</f>
        <v>2</v>
      </c>
    </row>
    <row r="60" spans="1:12" ht="12.75">
      <c r="A60" s="5"/>
      <c r="B60" s="5"/>
      <c r="C60" s="6">
        <f>SUM(C48:C59)</f>
        <v>7267974</v>
      </c>
      <c r="D60" s="6">
        <f>SUM(D48:D59)</f>
        <v>218039.22999999998</v>
      </c>
      <c r="E60" s="6">
        <f>SUM(E48:E59)</f>
        <v>7049934.7700000005</v>
      </c>
      <c r="F60" s="7">
        <f>+F18</f>
        <v>0.17605565830111014</v>
      </c>
      <c r="G60" s="5"/>
      <c r="H60" s="5"/>
      <c r="I60" s="6">
        <f>SUM(I48:I59)</f>
        <v>7049934.7700000005</v>
      </c>
      <c r="J60" s="6"/>
      <c r="K60" s="6"/>
      <c r="L60" s="35">
        <f>SUM(L48:L59)</f>
        <v>12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94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15.7109375" style="0" customWidth="1"/>
    <col min="4" max="4" width="16.140625" style="0" customWidth="1"/>
    <col min="5" max="5" width="17.00390625" style="0" customWidth="1"/>
    <col min="6" max="6" width="14.421875" style="0" customWidth="1"/>
    <col min="7" max="7" width="14.7109375" style="0" customWidth="1"/>
    <col min="8" max="8" width="10.421875" style="0" customWidth="1"/>
    <col min="9" max="9" width="16.140625" style="0" customWidth="1"/>
    <col min="14" max="14" width="12.140625" style="0" customWidth="1"/>
    <col min="19" max="19" width="10.140625" style="0" bestFit="1" customWidth="1"/>
  </cols>
  <sheetData>
    <row r="1" spans="1:9" ht="12.75">
      <c r="A1" s="16"/>
      <c r="B1" s="13"/>
      <c r="C1" s="13" t="s">
        <v>40</v>
      </c>
      <c r="D1" s="13"/>
      <c r="E1" s="13"/>
      <c r="F1" s="13"/>
      <c r="G1" s="13"/>
      <c r="H1" s="13"/>
      <c r="I1" s="13"/>
    </row>
    <row r="2" spans="1:16" ht="12.75">
      <c r="A2" s="13" t="s">
        <v>53</v>
      </c>
      <c r="B2" s="13"/>
      <c r="C2" s="13" t="s">
        <v>41</v>
      </c>
      <c r="D2" s="13"/>
      <c r="E2" s="13"/>
      <c r="F2" s="13"/>
      <c r="G2" s="13"/>
      <c r="H2" s="13"/>
      <c r="I2" s="13"/>
      <c r="N2">
        <f>+B6-1</f>
        <v>2003</v>
      </c>
      <c r="O2" t="s">
        <v>3</v>
      </c>
      <c r="P2">
        <f>+B6</f>
        <v>2004</v>
      </c>
    </row>
    <row r="3" spans="1:9" ht="12.75">
      <c r="A3" s="13"/>
      <c r="B3" s="13"/>
      <c r="C3" s="13" t="s">
        <v>26</v>
      </c>
      <c r="D3" s="13">
        <f>+B6</f>
        <v>2004</v>
      </c>
      <c r="E3" s="13" t="s">
        <v>3</v>
      </c>
      <c r="F3" s="13">
        <f>+B6+1</f>
        <v>2005</v>
      </c>
      <c r="G3" s="13"/>
      <c r="H3" s="13"/>
      <c r="I3" s="13"/>
    </row>
    <row r="4" spans="1:9" ht="12.75">
      <c r="A4" s="13"/>
      <c r="B4" s="13" t="s">
        <v>4</v>
      </c>
      <c r="C4" s="13" t="s">
        <v>19</v>
      </c>
      <c r="D4" s="13" t="s">
        <v>27</v>
      </c>
      <c r="E4" s="13" t="s">
        <v>28</v>
      </c>
      <c r="F4" s="13" t="s">
        <v>21</v>
      </c>
      <c r="G4" s="13" t="s">
        <v>22</v>
      </c>
      <c r="H4" s="13"/>
      <c r="I4" s="13" t="s">
        <v>42</v>
      </c>
    </row>
    <row r="5" spans="1:9" ht="12.75">
      <c r="A5" s="13"/>
      <c r="B5" s="13" t="s">
        <v>14</v>
      </c>
      <c r="C5" s="13"/>
      <c r="D5" s="13"/>
      <c r="E5" s="13"/>
      <c r="F5" s="13"/>
      <c r="G5" s="13" t="s">
        <v>14</v>
      </c>
      <c r="H5" s="13"/>
      <c r="I5" s="13"/>
    </row>
    <row r="6" spans="1:19" ht="12.75">
      <c r="A6" s="29">
        <v>10</v>
      </c>
      <c r="B6" s="29">
        <v>2004</v>
      </c>
      <c r="C6" s="30">
        <v>280425.61</v>
      </c>
      <c r="D6" s="30">
        <v>8412.77</v>
      </c>
      <c r="E6" s="30">
        <v>272012.84</v>
      </c>
      <c r="F6" s="31" t="s">
        <v>91</v>
      </c>
      <c r="G6" s="29">
        <v>11</v>
      </c>
      <c r="H6" s="29">
        <v>2004</v>
      </c>
      <c r="I6" s="30">
        <v>272012.84</v>
      </c>
      <c r="M6">
        <f aca="true" t="shared" si="0" ref="M6:M17">IF(A6&gt;0,1,0)</f>
        <v>1</v>
      </c>
      <c r="N6" s="25">
        <f>DATE(B6,A6,1)</f>
        <v>38261</v>
      </c>
      <c r="O6" s="23">
        <f aca="true" t="shared" si="1" ref="O6:O17">IF(B6&gt;0,N6,"")</f>
        <v>38261</v>
      </c>
      <c r="R6" s="24">
        <f>IF(M6=1,(F6+1),"")</f>
        <v>0.86</v>
      </c>
      <c r="S6" s="22">
        <f>IF(M6=1,C6/R6,"")</f>
        <v>326076.2906976744</v>
      </c>
    </row>
    <row r="7" spans="1:19" ht="12.75">
      <c r="A7" s="29">
        <v>11</v>
      </c>
      <c r="B7" s="29">
        <v>2004</v>
      </c>
      <c r="C7" s="30">
        <v>408111.08</v>
      </c>
      <c r="D7" s="30">
        <v>12243.33</v>
      </c>
      <c r="E7" s="30">
        <v>395867.75</v>
      </c>
      <c r="F7" s="31" t="s">
        <v>92</v>
      </c>
      <c r="G7" s="29">
        <v>12</v>
      </c>
      <c r="H7" s="29">
        <v>2004</v>
      </c>
      <c r="I7" s="30">
        <v>395867.75</v>
      </c>
      <c r="M7">
        <f t="shared" si="0"/>
        <v>1</v>
      </c>
      <c r="N7" s="25">
        <f aca="true" t="shared" si="2" ref="N7:N17">DATE(B7,A7,1)</f>
        <v>38292</v>
      </c>
      <c r="O7" s="23">
        <f t="shared" si="1"/>
        <v>38292</v>
      </c>
      <c r="R7" s="24">
        <f aca="true" t="shared" si="3" ref="R7:R17">IF(M7=1,(F7+1),"")</f>
        <v>1.0986</v>
      </c>
      <c r="S7" s="22">
        <f aca="true" t="shared" si="4" ref="S7:S17">IF(M7=1,C7/R7,"")</f>
        <v>371482.8691061351</v>
      </c>
    </row>
    <row r="8" spans="1:19" ht="12.75">
      <c r="A8" s="29">
        <v>12</v>
      </c>
      <c r="B8" s="29">
        <v>2004</v>
      </c>
      <c r="C8" s="30">
        <v>479317.3</v>
      </c>
      <c r="D8" s="30">
        <v>14379.52</v>
      </c>
      <c r="E8" s="30">
        <v>464937.78</v>
      </c>
      <c r="F8" s="31" t="s">
        <v>93</v>
      </c>
      <c r="G8" s="29">
        <v>1</v>
      </c>
      <c r="H8" s="29">
        <v>2005</v>
      </c>
      <c r="I8" s="30">
        <v>464937.78</v>
      </c>
      <c r="M8">
        <f t="shared" si="0"/>
        <v>1</v>
      </c>
      <c r="N8" s="25">
        <f t="shared" si="2"/>
        <v>38322</v>
      </c>
      <c r="O8" s="23">
        <f t="shared" si="1"/>
        <v>38322</v>
      </c>
      <c r="R8" s="24">
        <f t="shared" si="3"/>
        <v>1.0825</v>
      </c>
      <c r="S8" s="22">
        <f t="shared" si="4"/>
        <v>442787.3441108545</v>
      </c>
    </row>
    <row r="9" spans="1:19" ht="12.75">
      <c r="A9" s="29">
        <v>1</v>
      </c>
      <c r="B9" s="29">
        <v>2005</v>
      </c>
      <c r="C9" s="30">
        <v>481868.1</v>
      </c>
      <c r="D9" s="30">
        <v>14456.04</v>
      </c>
      <c r="E9" s="30">
        <v>467412.06</v>
      </c>
      <c r="F9" s="31" t="s">
        <v>94</v>
      </c>
      <c r="G9" s="29">
        <v>2</v>
      </c>
      <c r="H9" s="29">
        <v>2005</v>
      </c>
      <c r="I9" s="30">
        <v>467412.06</v>
      </c>
      <c r="M9">
        <f t="shared" si="0"/>
        <v>1</v>
      </c>
      <c r="N9" s="25">
        <f t="shared" si="2"/>
        <v>38353</v>
      </c>
      <c r="O9" s="23">
        <f t="shared" si="1"/>
        <v>38353</v>
      </c>
      <c r="R9" s="24">
        <f t="shared" si="3"/>
        <v>1.043</v>
      </c>
      <c r="S9" s="22">
        <f t="shared" si="4"/>
        <v>462002.0134228188</v>
      </c>
    </row>
    <row r="10" spans="1:19" ht="12.75">
      <c r="A10" s="29">
        <v>2</v>
      </c>
      <c r="B10" s="29">
        <v>2005</v>
      </c>
      <c r="C10" s="30">
        <v>530159.89</v>
      </c>
      <c r="D10" s="30">
        <v>15904.8</v>
      </c>
      <c r="E10" s="30">
        <v>514255.09</v>
      </c>
      <c r="F10" s="31" t="s">
        <v>95</v>
      </c>
      <c r="G10" s="29">
        <v>3</v>
      </c>
      <c r="H10" s="29">
        <v>2005</v>
      </c>
      <c r="I10" s="30">
        <v>514255.09</v>
      </c>
      <c r="M10">
        <f t="shared" si="0"/>
        <v>1</v>
      </c>
      <c r="N10" s="25">
        <f t="shared" si="2"/>
        <v>38384</v>
      </c>
      <c r="O10" s="23">
        <f t="shared" si="1"/>
        <v>38384</v>
      </c>
      <c r="R10" s="24">
        <f t="shared" si="3"/>
        <v>1.086</v>
      </c>
      <c r="S10" s="22">
        <f t="shared" si="4"/>
        <v>488176.69429097604</v>
      </c>
    </row>
    <row r="11" spans="1:19" ht="12.75">
      <c r="A11" s="29">
        <v>3</v>
      </c>
      <c r="B11" s="29">
        <v>2005</v>
      </c>
      <c r="C11" s="30">
        <v>546507</v>
      </c>
      <c r="D11" s="30">
        <v>16395.21</v>
      </c>
      <c r="E11" s="30">
        <v>530111.79</v>
      </c>
      <c r="F11" s="31" t="s">
        <v>96</v>
      </c>
      <c r="G11" s="29">
        <v>4</v>
      </c>
      <c r="H11" s="29">
        <v>2005</v>
      </c>
      <c r="I11" s="30">
        <v>530111.79</v>
      </c>
      <c r="M11">
        <f t="shared" si="0"/>
        <v>1</v>
      </c>
      <c r="N11" s="25">
        <f t="shared" si="2"/>
        <v>38412</v>
      </c>
      <c r="O11" s="23">
        <f t="shared" si="1"/>
        <v>38412</v>
      </c>
      <c r="R11" s="24">
        <f t="shared" si="3"/>
        <v>1.0289</v>
      </c>
      <c r="S11" s="22">
        <f t="shared" si="4"/>
        <v>531156.5749829916</v>
      </c>
    </row>
    <row r="12" spans="1:19" ht="12.75">
      <c r="A12" s="29">
        <v>4</v>
      </c>
      <c r="B12" s="29">
        <v>2005</v>
      </c>
      <c r="C12" s="30">
        <v>583699.49</v>
      </c>
      <c r="D12" s="30">
        <v>17510.98</v>
      </c>
      <c r="E12" s="30">
        <v>566188.51</v>
      </c>
      <c r="F12" s="31" t="s">
        <v>97</v>
      </c>
      <c r="G12" s="29">
        <v>5</v>
      </c>
      <c r="H12" s="29">
        <v>2005</v>
      </c>
      <c r="I12" s="30">
        <v>566188.51</v>
      </c>
      <c r="M12">
        <f t="shared" si="0"/>
        <v>1</v>
      </c>
      <c r="N12" s="25">
        <f t="shared" si="2"/>
        <v>38443</v>
      </c>
      <c r="O12" s="23">
        <f t="shared" si="1"/>
        <v>38443</v>
      </c>
      <c r="R12" s="24">
        <f t="shared" si="3"/>
        <v>0.9509</v>
      </c>
      <c r="S12" s="22">
        <f t="shared" si="4"/>
        <v>613838.9841203071</v>
      </c>
    </row>
    <row r="13" spans="1:19" ht="12.75">
      <c r="A13" s="29">
        <v>5</v>
      </c>
      <c r="B13" s="29">
        <v>2005</v>
      </c>
      <c r="C13" s="30">
        <v>521971.39</v>
      </c>
      <c r="D13" s="30">
        <v>15659.14</v>
      </c>
      <c r="E13" s="30">
        <v>506312.25</v>
      </c>
      <c r="F13" s="31" t="s">
        <v>98</v>
      </c>
      <c r="G13" s="29">
        <v>6</v>
      </c>
      <c r="H13" s="29">
        <v>2005</v>
      </c>
      <c r="I13" s="30">
        <v>506312.25</v>
      </c>
      <c r="M13">
        <f t="shared" si="0"/>
        <v>1</v>
      </c>
      <c r="N13" s="25">
        <f t="shared" si="2"/>
        <v>38473</v>
      </c>
      <c r="O13" s="23">
        <f t="shared" si="1"/>
        <v>38473</v>
      </c>
      <c r="R13" s="24">
        <f t="shared" si="3"/>
        <v>1.1829</v>
      </c>
      <c r="S13" s="22">
        <f t="shared" si="4"/>
        <v>441264.1727956716</v>
      </c>
    </row>
    <row r="14" spans="1:19" ht="12.75">
      <c r="A14" s="29">
        <v>6</v>
      </c>
      <c r="B14" s="29">
        <v>2005</v>
      </c>
      <c r="C14" s="30">
        <v>465302.47</v>
      </c>
      <c r="D14" s="30">
        <v>13959.07</v>
      </c>
      <c r="E14" s="30">
        <v>451343.4</v>
      </c>
      <c r="F14" s="31" t="s">
        <v>99</v>
      </c>
      <c r="G14" s="29">
        <v>7</v>
      </c>
      <c r="H14" s="29">
        <v>2005</v>
      </c>
      <c r="I14" s="30">
        <v>451343.4</v>
      </c>
      <c r="M14">
        <f t="shared" si="0"/>
        <v>1</v>
      </c>
      <c r="N14" s="25">
        <f t="shared" si="2"/>
        <v>38504</v>
      </c>
      <c r="O14" s="23">
        <f t="shared" si="1"/>
        <v>38504</v>
      </c>
      <c r="R14" s="24">
        <f t="shared" si="3"/>
        <v>1.0427</v>
      </c>
      <c r="S14" s="22">
        <f t="shared" si="4"/>
        <v>446247.69348805986</v>
      </c>
    </row>
    <row r="15" spans="1:19" ht="12.75">
      <c r="A15" s="29">
        <v>7</v>
      </c>
      <c r="B15" s="29">
        <v>2005</v>
      </c>
      <c r="C15" s="30">
        <v>396687.82</v>
      </c>
      <c r="D15" s="30">
        <v>11900.63</v>
      </c>
      <c r="E15" s="30">
        <v>384787.19</v>
      </c>
      <c r="F15" s="31" t="s">
        <v>100</v>
      </c>
      <c r="G15" s="29">
        <v>8</v>
      </c>
      <c r="H15" s="29">
        <v>2005</v>
      </c>
      <c r="I15" s="30">
        <v>384787.19</v>
      </c>
      <c r="M15">
        <f t="shared" si="0"/>
        <v>1</v>
      </c>
      <c r="N15" s="25">
        <f t="shared" si="2"/>
        <v>38534</v>
      </c>
      <c r="O15" s="23">
        <f t="shared" si="1"/>
        <v>38534</v>
      </c>
      <c r="R15" s="24">
        <f t="shared" si="3"/>
        <v>1.1457</v>
      </c>
      <c r="S15" s="22">
        <f t="shared" si="4"/>
        <v>346240.5690844026</v>
      </c>
    </row>
    <row r="16" spans="1:19" ht="12.75">
      <c r="A16" s="29">
        <v>8</v>
      </c>
      <c r="B16" s="29">
        <v>2005</v>
      </c>
      <c r="C16" s="30">
        <v>313430.51</v>
      </c>
      <c r="D16" s="30">
        <v>9402.92</v>
      </c>
      <c r="E16" s="30">
        <v>304027.59</v>
      </c>
      <c r="F16" s="31" t="s">
        <v>101</v>
      </c>
      <c r="G16" s="29">
        <v>9</v>
      </c>
      <c r="H16" s="29">
        <v>2005</v>
      </c>
      <c r="I16" s="30">
        <v>304027.59</v>
      </c>
      <c r="M16">
        <f t="shared" si="0"/>
        <v>1</v>
      </c>
      <c r="N16" s="25">
        <f t="shared" si="2"/>
        <v>38565</v>
      </c>
      <c r="O16" s="23">
        <f t="shared" si="1"/>
        <v>38565</v>
      </c>
      <c r="R16" s="24">
        <f t="shared" si="3"/>
        <v>0.9475</v>
      </c>
      <c r="S16" s="22">
        <f t="shared" si="4"/>
        <v>330797.37203166226</v>
      </c>
    </row>
    <row r="17" spans="1:19" ht="12.75">
      <c r="A17" s="29">
        <v>9</v>
      </c>
      <c r="B17" s="29">
        <v>2005</v>
      </c>
      <c r="C17" s="30">
        <v>317874.58</v>
      </c>
      <c r="D17" s="30">
        <v>9536.24</v>
      </c>
      <c r="E17" s="30">
        <v>308338.34</v>
      </c>
      <c r="F17" s="31" t="s">
        <v>102</v>
      </c>
      <c r="G17" s="29">
        <v>10</v>
      </c>
      <c r="H17" s="29">
        <v>2005</v>
      </c>
      <c r="I17" s="30">
        <v>308338.34</v>
      </c>
      <c r="M17">
        <f t="shared" si="0"/>
        <v>1</v>
      </c>
      <c r="N17" s="25">
        <f t="shared" si="2"/>
        <v>38596</v>
      </c>
      <c r="O17" s="23">
        <f t="shared" si="1"/>
        <v>38596</v>
      </c>
      <c r="R17" s="24">
        <f t="shared" si="3"/>
        <v>1.0497</v>
      </c>
      <c r="S17" s="22">
        <f t="shared" si="4"/>
        <v>302824.2164427932</v>
      </c>
    </row>
    <row r="18" spans="1:19" ht="12.75">
      <c r="A18" s="17"/>
      <c r="B18" s="17"/>
      <c r="C18" s="18">
        <f>SUM(C6:C17)</f>
        <v>5325355.24</v>
      </c>
      <c r="D18" s="18">
        <f>SUM(D6:D17)</f>
        <v>159760.65</v>
      </c>
      <c r="E18" s="18">
        <f>SUM(E6:E17)</f>
        <v>5165594.59</v>
      </c>
      <c r="F18" s="19">
        <f>(C18/S18)-1</f>
        <v>0.04359495039211536</v>
      </c>
      <c r="G18" s="17"/>
      <c r="H18" s="17"/>
      <c r="I18" s="18">
        <f>SUM(I6:I17)</f>
        <v>5165594.59</v>
      </c>
      <c r="M18">
        <f>SUM(M6:M17)</f>
        <v>12</v>
      </c>
      <c r="O18" s="2">
        <f>(F6+F7+F8+F9+F10+F11+F12+F13+F14+F15+F16+F17)/M18</f>
        <v>0.043199999999999995</v>
      </c>
      <c r="S18" s="22">
        <f>SUM(S6:S17)</f>
        <v>5102894.794574347</v>
      </c>
    </row>
    <row r="22" spans="1:7" ht="12.75">
      <c r="A22" s="14"/>
      <c r="B22" s="14"/>
      <c r="C22" s="14" t="s">
        <v>30</v>
      </c>
      <c r="D22" s="14"/>
      <c r="E22" s="14"/>
      <c r="F22" s="14"/>
      <c r="G22" s="14"/>
    </row>
    <row r="23" spans="1:7" ht="12.75">
      <c r="A23" s="14"/>
      <c r="B23" s="14"/>
      <c r="C23" s="14" t="s">
        <v>43</v>
      </c>
      <c r="D23" s="14"/>
      <c r="E23" s="14"/>
      <c r="F23" s="14"/>
      <c r="G23" s="14"/>
    </row>
    <row r="24" spans="1:7" ht="12.75">
      <c r="A24" s="14"/>
      <c r="B24" s="14"/>
      <c r="C24" s="14" t="s">
        <v>32</v>
      </c>
      <c r="D24" s="14">
        <f>+B27</f>
        <v>2004</v>
      </c>
      <c r="E24" s="14" t="s">
        <v>3</v>
      </c>
      <c r="F24" s="14">
        <f>+B27+1</f>
        <v>2005</v>
      </c>
      <c r="G24" s="14"/>
    </row>
    <row r="25" spans="1:7" ht="12.75">
      <c r="A25" s="14" t="s">
        <v>33</v>
      </c>
      <c r="B25" s="14" t="s">
        <v>14</v>
      </c>
      <c r="C25" s="14" t="s">
        <v>34</v>
      </c>
      <c r="D25" s="14" t="s">
        <v>35</v>
      </c>
      <c r="E25" s="14" t="s">
        <v>44</v>
      </c>
      <c r="F25" s="14" t="s">
        <v>36</v>
      </c>
      <c r="G25" s="14" t="s">
        <v>39</v>
      </c>
    </row>
    <row r="26" spans="1:2" ht="12.75">
      <c r="A26" t="s">
        <v>14</v>
      </c>
      <c r="B26" t="s">
        <v>15</v>
      </c>
    </row>
    <row r="27" spans="1:7" ht="12.75">
      <c r="A27" s="29">
        <v>11</v>
      </c>
      <c r="B27" s="29">
        <v>2004</v>
      </c>
      <c r="C27" s="30">
        <v>8160.39</v>
      </c>
      <c r="D27" s="30">
        <v>263852.46</v>
      </c>
      <c r="E27" s="30">
        <v>8333.33</v>
      </c>
      <c r="F27" s="30">
        <v>255519.13</v>
      </c>
      <c r="G27" s="30">
        <v>272012.84</v>
      </c>
    </row>
    <row r="28" spans="1:7" ht="12.75">
      <c r="A28" s="29">
        <v>12</v>
      </c>
      <c r="B28" s="29">
        <v>2004</v>
      </c>
      <c r="C28" s="30">
        <v>11876.03</v>
      </c>
      <c r="D28" s="30">
        <v>383991.72</v>
      </c>
      <c r="E28" s="30">
        <v>8333.34</v>
      </c>
      <c r="F28" s="30">
        <v>375658.38</v>
      </c>
      <c r="G28" s="30">
        <v>395867.75</v>
      </c>
    </row>
    <row r="29" spans="1:7" ht="12.75">
      <c r="A29" s="29">
        <v>1</v>
      </c>
      <c r="B29" s="29">
        <v>2005</v>
      </c>
      <c r="C29" s="30">
        <v>13948.13</v>
      </c>
      <c r="D29" s="30">
        <v>450989.65</v>
      </c>
      <c r="E29" s="30">
        <v>8333.33</v>
      </c>
      <c r="F29" s="30">
        <v>442656.32</v>
      </c>
      <c r="G29" s="30">
        <v>464937.78</v>
      </c>
    </row>
    <row r="30" spans="1:7" ht="12.75">
      <c r="A30" s="29">
        <v>2</v>
      </c>
      <c r="B30" s="29">
        <v>2005</v>
      </c>
      <c r="C30" s="30">
        <v>14022.36</v>
      </c>
      <c r="D30" s="30">
        <v>453389.7</v>
      </c>
      <c r="E30" s="30">
        <v>8333.33</v>
      </c>
      <c r="F30" s="30">
        <v>445056.37</v>
      </c>
      <c r="G30" s="30">
        <v>467412.06</v>
      </c>
    </row>
    <row r="31" spans="1:7" ht="12.75">
      <c r="A31" s="29">
        <v>3</v>
      </c>
      <c r="B31" s="29">
        <v>2005</v>
      </c>
      <c r="C31" s="30">
        <v>15427.65</v>
      </c>
      <c r="D31" s="30">
        <v>498827.44</v>
      </c>
      <c r="E31" s="30">
        <v>8333.34</v>
      </c>
      <c r="F31" s="30">
        <v>490494.1</v>
      </c>
      <c r="G31" s="30">
        <v>514255.09</v>
      </c>
    </row>
    <row r="32" spans="1:7" ht="12.75">
      <c r="A32" s="29">
        <v>4</v>
      </c>
      <c r="B32" s="29">
        <v>2005</v>
      </c>
      <c r="C32" s="30">
        <v>15903.35</v>
      </c>
      <c r="D32" s="30">
        <v>514208.44</v>
      </c>
      <c r="E32" s="30">
        <v>8333.33</v>
      </c>
      <c r="F32" s="30">
        <v>505875.11</v>
      </c>
      <c r="G32" s="30">
        <v>530111.79</v>
      </c>
    </row>
    <row r="33" spans="1:7" ht="12.75">
      <c r="A33" s="29">
        <v>5</v>
      </c>
      <c r="B33" s="29">
        <v>2005</v>
      </c>
      <c r="C33" s="30">
        <v>16985.66</v>
      </c>
      <c r="D33" s="30">
        <v>549202.85</v>
      </c>
      <c r="E33" s="30">
        <v>8333.33</v>
      </c>
      <c r="F33" s="30">
        <v>540869.52</v>
      </c>
      <c r="G33" s="30">
        <v>566188.51</v>
      </c>
    </row>
    <row r="34" spans="1:7" ht="12.75">
      <c r="A34" s="29">
        <v>6</v>
      </c>
      <c r="B34" s="29">
        <v>2005</v>
      </c>
      <c r="C34" s="30">
        <v>15189.37</v>
      </c>
      <c r="D34" s="30">
        <v>491122.88</v>
      </c>
      <c r="E34" s="30">
        <v>8333.34</v>
      </c>
      <c r="F34" s="30">
        <v>482789.54</v>
      </c>
      <c r="G34" s="30">
        <v>506312.25</v>
      </c>
    </row>
    <row r="35" spans="1:7" ht="12.75">
      <c r="A35" s="29">
        <v>7</v>
      </c>
      <c r="B35" s="29">
        <v>2005</v>
      </c>
      <c r="C35" s="30">
        <v>13540.3</v>
      </c>
      <c r="D35" s="30">
        <v>437803.09</v>
      </c>
      <c r="E35" s="30">
        <v>8333.33</v>
      </c>
      <c r="F35" s="30">
        <v>429469.76</v>
      </c>
      <c r="G35" s="30">
        <v>451343.4</v>
      </c>
    </row>
    <row r="36" spans="1:7" ht="12.75">
      <c r="A36" s="29">
        <v>8</v>
      </c>
      <c r="B36" s="29">
        <v>2005</v>
      </c>
      <c r="C36" s="30">
        <v>11543.62</v>
      </c>
      <c r="D36" s="30">
        <v>373243.57</v>
      </c>
      <c r="E36" s="30">
        <v>8333.33</v>
      </c>
      <c r="F36" s="30">
        <v>364910.24</v>
      </c>
      <c r="G36" s="30">
        <v>384787.19</v>
      </c>
    </row>
    <row r="37" spans="1:7" ht="12.75">
      <c r="A37" s="29">
        <v>9</v>
      </c>
      <c r="B37" s="29">
        <v>2005</v>
      </c>
      <c r="C37" s="30">
        <v>9120.83</v>
      </c>
      <c r="D37" s="30">
        <v>294906.77</v>
      </c>
      <c r="E37" s="30">
        <v>8333.34</v>
      </c>
      <c r="F37" s="30">
        <v>286573.43</v>
      </c>
      <c r="G37" s="30">
        <v>304027.59</v>
      </c>
    </row>
    <row r="38" spans="1:7" ht="12.75">
      <c r="A38" s="29">
        <v>10</v>
      </c>
      <c r="B38" s="29">
        <v>2005</v>
      </c>
      <c r="C38" s="30">
        <f>+I17*0.03</f>
        <v>9250.1502</v>
      </c>
      <c r="D38" s="30">
        <f>+I17-C38</f>
        <v>299088.18980000005</v>
      </c>
      <c r="E38" s="30">
        <v>8333.33</v>
      </c>
      <c r="F38" s="30">
        <f>+I17-C38-E38</f>
        <v>290754.85980000003</v>
      </c>
      <c r="G38" s="30">
        <f>+F38+E38+C38</f>
        <v>308338.34</v>
      </c>
    </row>
    <row r="39" spans="1:7" ht="12.75">
      <c r="A39" s="14"/>
      <c r="B39" s="14"/>
      <c r="C39" s="15">
        <f>SUM(C27:C38)</f>
        <v>154967.8402</v>
      </c>
      <c r="D39" s="15">
        <f>SUM(D27:D38)</f>
        <v>5010626.7598</v>
      </c>
      <c r="E39" s="15">
        <f>SUM(E27:E38)</f>
        <v>100000</v>
      </c>
      <c r="F39" s="15">
        <f>SUM(F27:F38)</f>
        <v>4910626.7598</v>
      </c>
      <c r="G39" s="15">
        <f>SUM(G27:G38)</f>
        <v>5165594.59</v>
      </c>
    </row>
    <row r="71" spans="1:9" ht="12.75">
      <c r="A71" s="16"/>
      <c r="B71" s="13"/>
      <c r="C71" s="13" t="s">
        <v>40</v>
      </c>
      <c r="D71" s="13"/>
      <c r="E71" s="13"/>
      <c r="F71" s="13"/>
      <c r="G71" s="13"/>
      <c r="H71" s="13"/>
      <c r="I71" s="13"/>
    </row>
    <row r="72" spans="1:9" ht="12.75">
      <c r="A72" s="13" t="s">
        <v>53</v>
      </c>
      <c r="B72" s="13"/>
      <c r="C72" s="13" t="s">
        <v>41</v>
      </c>
      <c r="D72" s="13"/>
      <c r="E72" s="13"/>
      <c r="F72" s="13"/>
      <c r="G72" s="13"/>
      <c r="H72" s="13"/>
      <c r="I72" s="13"/>
    </row>
    <row r="73" spans="1:9" ht="12.75">
      <c r="A73" s="13"/>
      <c r="B73" s="13"/>
      <c r="C73" s="13" t="s">
        <v>26</v>
      </c>
      <c r="D73" s="13">
        <f>+B6</f>
        <v>2004</v>
      </c>
      <c r="E73" s="13" t="s">
        <v>3</v>
      </c>
      <c r="F73" s="13">
        <f>+B6+1</f>
        <v>2005</v>
      </c>
      <c r="G73" s="13"/>
      <c r="H73" s="13"/>
      <c r="I73" s="13"/>
    </row>
    <row r="74" spans="1:9" ht="12.75">
      <c r="A74" s="13" t="s">
        <v>56</v>
      </c>
      <c r="B74" s="13" t="s">
        <v>4</v>
      </c>
      <c r="C74" s="13" t="s">
        <v>19</v>
      </c>
      <c r="D74" s="13" t="s">
        <v>27</v>
      </c>
      <c r="E74" s="13" t="s">
        <v>28</v>
      </c>
      <c r="F74" s="13" t="s">
        <v>21</v>
      </c>
      <c r="G74" s="13" t="s">
        <v>22</v>
      </c>
      <c r="H74" s="13"/>
      <c r="I74" s="13" t="s">
        <v>42</v>
      </c>
    </row>
    <row r="75" spans="1:9" ht="12.75">
      <c r="A75" s="13"/>
      <c r="B75" s="13" t="s">
        <v>15</v>
      </c>
      <c r="C75" s="13"/>
      <c r="D75" s="13"/>
      <c r="E75" s="13"/>
      <c r="F75" s="13"/>
      <c r="G75" s="13" t="s">
        <v>63</v>
      </c>
      <c r="H75" s="13"/>
      <c r="I75" s="13"/>
    </row>
    <row r="76" spans="1:13" ht="12.75">
      <c r="A76">
        <v>1</v>
      </c>
      <c r="B76" t="s">
        <v>64</v>
      </c>
      <c r="C76" s="26">
        <f>+C6+C7+C8</f>
        <v>1167853.99</v>
      </c>
      <c r="D76" s="26">
        <f>+D6+D7+D8</f>
        <v>35035.619999999995</v>
      </c>
      <c r="E76" s="26">
        <f>+E6+E7+E8</f>
        <v>1132818.37</v>
      </c>
      <c r="F76" s="36">
        <f>(F6+F7+F8)/M76</f>
        <v>0.013699999999999995</v>
      </c>
      <c r="G76">
        <f aca="true" t="shared" si="5" ref="G76:H79">+A76</f>
        <v>1</v>
      </c>
      <c r="H76" t="str">
        <f t="shared" si="5"/>
        <v> 2003-2004</v>
      </c>
      <c r="I76" s="26">
        <f>+I6+I7+I8</f>
        <v>1132818.37</v>
      </c>
      <c r="M76">
        <f>+M6+M7+M8</f>
        <v>3</v>
      </c>
    </row>
    <row r="77" spans="1:13" ht="12.75">
      <c r="A77">
        <v>2</v>
      </c>
      <c r="B77" t="str">
        <f>+B76</f>
        <v> 2003-2004</v>
      </c>
      <c r="C77" s="26">
        <f aca="true" t="shared" si="6" ref="C77:E79">+C9+C10+C11</f>
        <v>1558534.99</v>
      </c>
      <c r="D77" s="26">
        <f t="shared" si="6"/>
        <v>46756.05</v>
      </c>
      <c r="E77" s="26">
        <f t="shared" si="6"/>
        <v>1511778.94</v>
      </c>
      <c r="F77" s="36">
        <f>(F7+F8+F9)/M77</f>
        <v>0.07469999999999999</v>
      </c>
      <c r="G77">
        <f t="shared" si="5"/>
        <v>2</v>
      </c>
      <c r="H77" t="str">
        <f t="shared" si="5"/>
        <v> 2003-2004</v>
      </c>
      <c r="I77" s="1">
        <f>+I9+I10+I11</f>
        <v>1511778.94</v>
      </c>
      <c r="M77">
        <f>+M9+M10+M11</f>
        <v>3</v>
      </c>
    </row>
    <row r="78" spans="1:13" ht="12.75">
      <c r="A78">
        <v>3</v>
      </c>
      <c r="B78" t="str">
        <f>+B76</f>
        <v> 2003-2004</v>
      </c>
      <c r="C78" s="26">
        <f t="shared" si="6"/>
        <v>1660366.3800000001</v>
      </c>
      <c r="D78" s="26">
        <f t="shared" si="6"/>
        <v>49810.99</v>
      </c>
      <c r="E78" s="26">
        <f t="shared" si="6"/>
        <v>1610555.3900000001</v>
      </c>
      <c r="F78" s="36">
        <f>(F8+F9+F10)/M78</f>
        <v>0.0705</v>
      </c>
      <c r="G78">
        <f t="shared" si="5"/>
        <v>3</v>
      </c>
      <c r="H78" t="str">
        <f t="shared" si="5"/>
        <v> 2003-2004</v>
      </c>
      <c r="I78" s="1">
        <f>+I10+I11+I12</f>
        <v>1610555.3900000001</v>
      </c>
      <c r="M78">
        <f>+M12+M13+M14</f>
        <v>3</v>
      </c>
    </row>
    <row r="79" spans="1:13" ht="12.75">
      <c r="A79">
        <v>4</v>
      </c>
      <c r="B79" t="str">
        <f>+B76</f>
        <v> 2003-2004</v>
      </c>
      <c r="C79" s="26">
        <f t="shared" si="6"/>
        <v>1652177.88</v>
      </c>
      <c r="D79" s="26">
        <f t="shared" si="6"/>
        <v>49565.33</v>
      </c>
      <c r="E79" s="26">
        <f t="shared" si="6"/>
        <v>1602612.55</v>
      </c>
      <c r="F79" s="36">
        <f>(F9+F10+F11)/M79</f>
        <v>0.05263333333333334</v>
      </c>
      <c r="G79">
        <f t="shared" si="5"/>
        <v>4</v>
      </c>
      <c r="H79" t="str">
        <f t="shared" si="5"/>
        <v> 2003-2004</v>
      </c>
      <c r="I79" s="1">
        <f>+I11+I12+I13</f>
        <v>1602612.55</v>
      </c>
      <c r="M79">
        <f>+M15+M16+M17</f>
        <v>3</v>
      </c>
    </row>
    <row r="80" spans="1:9" ht="12.75">
      <c r="A80" s="13" t="s">
        <v>66</v>
      </c>
      <c r="B80" s="13"/>
      <c r="C80" s="40">
        <f>SUM(C76:C79)</f>
        <v>6038933.24</v>
      </c>
      <c r="D80" s="40">
        <f>SUM(D76:D79)</f>
        <v>181167.99</v>
      </c>
      <c r="E80" s="40">
        <f>SUM(E76:E79)</f>
        <v>5857765.25</v>
      </c>
      <c r="F80" s="41">
        <f>+F18</f>
        <v>0.04359495039211536</v>
      </c>
      <c r="G80" s="13"/>
      <c r="H80" s="13"/>
      <c r="I80" s="40">
        <f>SUM(I76:I79)</f>
        <v>5857765.25</v>
      </c>
    </row>
    <row r="85" spans="1:7" ht="12.75">
      <c r="A85" s="14"/>
      <c r="B85" s="14"/>
      <c r="C85" s="14" t="s">
        <v>30</v>
      </c>
      <c r="D85" s="14"/>
      <c r="E85" s="14"/>
      <c r="F85" s="14"/>
      <c r="G85" s="14"/>
    </row>
    <row r="86" spans="1:7" ht="12.75">
      <c r="A86" s="14"/>
      <c r="B86" s="14"/>
      <c r="C86" s="14" t="s">
        <v>43</v>
      </c>
      <c r="D86" s="14"/>
      <c r="E86" s="14"/>
      <c r="F86" s="14"/>
      <c r="G86" s="14"/>
    </row>
    <row r="87" spans="1:7" ht="12.75">
      <c r="A87" s="14"/>
      <c r="B87" s="14"/>
      <c r="C87" s="14" t="s">
        <v>32</v>
      </c>
      <c r="D87" s="14">
        <f>+B6</f>
        <v>2004</v>
      </c>
      <c r="E87" s="14" t="s">
        <v>3</v>
      </c>
      <c r="F87" s="14">
        <f>+B6+1</f>
        <v>2005</v>
      </c>
      <c r="G87" s="14"/>
    </row>
    <row r="88" spans="1:7" ht="12.75">
      <c r="A88" s="14" t="s">
        <v>56</v>
      </c>
      <c r="B88" s="14" t="s">
        <v>14</v>
      </c>
      <c r="C88" s="14" t="s">
        <v>34</v>
      </c>
      <c r="D88" s="14" t="s">
        <v>35</v>
      </c>
      <c r="E88" s="14" t="s">
        <v>44</v>
      </c>
      <c r="F88" s="14" t="s">
        <v>36</v>
      </c>
      <c r="G88" s="14" t="s">
        <v>39</v>
      </c>
    </row>
    <row r="89" spans="2:7" ht="12.75">
      <c r="B89" t="s">
        <v>15</v>
      </c>
      <c r="C89" s="28"/>
      <c r="D89" s="28"/>
      <c r="E89" s="28"/>
      <c r="F89" s="28"/>
      <c r="G89" s="28"/>
    </row>
    <row r="90" spans="1:7" ht="12.75">
      <c r="A90">
        <v>1</v>
      </c>
      <c r="B90" t="s">
        <v>64</v>
      </c>
      <c r="C90" s="42">
        <f>+C27+C28+C29</f>
        <v>33984.55</v>
      </c>
      <c r="D90" s="42">
        <f>+D27+D28+D29</f>
        <v>1098833.83</v>
      </c>
      <c r="E90" s="42">
        <f>+E27+E28+E29</f>
        <v>25000</v>
      </c>
      <c r="F90" s="42">
        <f>+F27+F28+F29</f>
        <v>1073833.83</v>
      </c>
      <c r="G90" s="42">
        <f>+G27+G28+G29</f>
        <v>1132818.37</v>
      </c>
    </row>
    <row r="91" spans="1:7" ht="12.75">
      <c r="A91">
        <v>2</v>
      </c>
      <c r="B91" t="str">
        <f>+B90</f>
        <v> 2003-2004</v>
      </c>
      <c r="C91" s="42">
        <f>+C30+C31+C32</f>
        <v>45353.36</v>
      </c>
      <c r="D91" s="42">
        <f>+D30+D31+D32</f>
        <v>1466425.58</v>
      </c>
      <c r="E91" s="42">
        <f>+E30+E31+E32</f>
        <v>25000</v>
      </c>
      <c r="F91" s="42">
        <f>+F30+F31+F32</f>
        <v>1441425.58</v>
      </c>
      <c r="G91" s="42">
        <f>+G30+G31+G32</f>
        <v>1511778.94</v>
      </c>
    </row>
    <row r="92" spans="1:7" ht="12.75">
      <c r="A92">
        <v>3</v>
      </c>
      <c r="B92" t="str">
        <f>+B90</f>
        <v> 2003-2004</v>
      </c>
      <c r="C92" s="42">
        <f>+C33+C34+C35</f>
        <v>45715.33</v>
      </c>
      <c r="D92" s="42">
        <f>+D33+D34+D35</f>
        <v>1478128.82</v>
      </c>
      <c r="E92" s="42">
        <f>+E33+E34+E35</f>
        <v>25000</v>
      </c>
      <c r="F92" s="42">
        <f>+F33+F34+F35</f>
        <v>1453128.82</v>
      </c>
      <c r="G92" s="42">
        <f>+G33+G34+G35</f>
        <v>1523844.1600000001</v>
      </c>
    </row>
    <row r="93" spans="1:7" ht="12.75">
      <c r="A93">
        <v>4</v>
      </c>
      <c r="B93" t="str">
        <f>+B90</f>
        <v> 2003-2004</v>
      </c>
      <c r="C93" s="42">
        <f>+C36+C37+C38</f>
        <v>29914.6002</v>
      </c>
      <c r="D93" s="42">
        <f>+D36+D37+D38</f>
        <v>967238.5298000001</v>
      </c>
      <c r="E93" s="42">
        <f>+E36+E37+E38</f>
        <v>25000</v>
      </c>
      <c r="F93" s="42">
        <f>+F36+F37+F38</f>
        <v>942238.5297999999</v>
      </c>
      <c r="G93" s="42">
        <f>+G36+G37+G38</f>
        <v>997153.1200000001</v>
      </c>
    </row>
    <row r="94" spans="1:7" ht="12.75">
      <c r="A94" s="13" t="s">
        <v>66</v>
      </c>
      <c r="B94" s="13"/>
      <c r="C94" s="40">
        <f>SUM(C90:C93)</f>
        <v>154967.8402</v>
      </c>
      <c r="D94" s="40">
        <f>SUM(D90:D93)</f>
        <v>5010626.7598</v>
      </c>
      <c r="E94" s="40">
        <f>SUM(E90:E93)</f>
        <v>100000</v>
      </c>
      <c r="F94" s="40">
        <f>SUM(F90:F93)</f>
        <v>4910626.7598</v>
      </c>
      <c r="G94" s="40">
        <f>SUM(G90:G93)</f>
        <v>5165594.59</v>
      </c>
    </row>
  </sheetData>
  <sheetProtection/>
  <printOptions horizontalCentered="1" verticalCentered="1"/>
  <pageMargins left="0.75" right="0.75" top="1" bottom="1" header="0.5" footer="0.5"/>
  <pageSetup fitToHeight="0" fitToWidth="1" orientation="landscape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Z61"/>
  <sheetViews>
    <sheetView zoomScalePageLayoutView="0" workbookViewId="0" topLeftCell="A1">
      <selection activeCell="C44" sqref="C44"/>
    </sheetView>
  </sheetViews>
  <sheetFormatPr defaultColWidth="9.140625" defaultRowHeight="12.75"/>
  <cols>
    <col min="2" max="2" width="10.28125" style="0" customWidth="1"/>
    <col min="3" max="3" width="14.8515625" style="0" customWidth="1"/>
    <col min="4" max="4" width="13.00390625" style="0" customWidth="1"/>
    <col min="5" max="5" width="14.28125" style="0" customWidth="1"/>
    <col min="8" max="8" width="9.7109375" style="0" customWidth="1"/>
    <col min="9" max="9" width="15.7109375" style="0" customWidth="1"/>
    <col min="10" max="10" width="13.8515625" style="0" customWidth="1"/>
    <col min="17" max="17" width="13.421875" style="0" customWidth="1"/>
    <col min="20" max="20" width="9.57421875" style="0" bestFit="1" customWidth="1"/>
    <col min="21" max="21" width="11.7109375" style="0" customWidth="1"/>
    <col min="22" max="22" width="11.140625" style="0" bestFit="1" customWidth="1"/>
    <col min="24" max="24" width="11.8515625" style="0" customWidth="1"/>
  </cols>
  <sheetData>
    <row r="1" spans="1:20" ht="12.75">
      <c r="A1" s="14"/>
      <c r="B1" s="14"/>
      <c r="C1" s="14" t="s">
        <v>0</v>
      </c>
      <c r="D1" s="14"/>
      <c r="E1" s="14"/>
      <c r="F1" s="14"/>
      <c r="G1" s="14"/>
      <c r="H1" s="14"/>
      <c r="I1" s="14"/>
      <c r="J1" s="14"/>
      <c r="K1" s="14"/>
      <c r="R1">
        <f>+B7-1</f>
        <v>2003</v>
      </c>
      <c r="S1" t="s">
        <v>3</v>
      </c>
      <c r="T1">
        <f>+B7</f>
        <v>2004</v>
      </c>
    </row>
    <row r="2" spans="1:11" ht="12.75">
      <c r="A2" s="14"/>
      <c r="B2" s="14"/>
      <c r="C2" s="14" t="s">
        <v>45</v>
      </c>
      <c r="D2" s="14"/>
      <c r="E2" s="14"/>
      <c r="F2" s="14"/>
      <c r="G2" s="14"/>
      <c r="H2" s="14"/>
      <c r="I2" s="14"/>
      <c r="J2" s="14"/>
      <c r="K2" s="14"/>
    </row>
    <row r="3" spans="1:11" ht="12.75">
      <c r="A3" s="14"/>
      <c r="B3" s="14"/>
      <c r="C3" s="14" t="s">
        <v>46</v>
      </c>
      <c r="D3" s="14"/>
      <c r="E3" s="14"/>
      <c r="F3" s="14"/>
      <c r="G3" s="14"/>
      <c r="H3" s="14"/>
      <c r="I3" s="14" t="s">
        <v>47</v>
      </c>
      <c r="J3" s="14" t="s">
        <v>48</v>
      </c>
      <c r="K3" s="14"/>
    </row>
    <row r="4" spans="1:11" ht="12.75">
      <c r="A4" s="14"/>
      <c r="B4" s="14"/>
      <c r="C4" s="14" t="s">
        <v>17</v>
      </c>
      <c r="D4" s="14"/>
      <c r="E4" s="14">
        <f>+B7</f>
        <v>2004</v>
      </c>
      <c r="F4" s="14" t="s">
        <v>3</v>
      </c>
      <c r="G4" s="14">
        <f>+B7+1</f>
        <v>2005</v>
      </c>
      <c r="H4" s="14"/>
      <c r="I4" s="14"/>
      <c r="J4" s="14"/>
      <c r="K4" s="14"/>
    </row>
    <row r="5" spans="1:11" ht="12.75">
      <c r="A5" s="14"/>
      <c r="B5" s="14"/>
      <c r="C5" s="14"/>
      <c r="D5" s="14"/>
      <c r="E5" s="14"/>
      <c r="F5" s="14" t="s">
        <v>49</v>
      </c>
      <c r="G5" s="14"/>
      <c r="H5" s="14"/>
      <c r="I5" s="14" t="s">
        <v>50</v>
      </c>
      <c r="J5" s="14" t="s">
        <v>23</v>
      </c>
      <c r="K5" s="14"/>
    </row>
    <row r="6" spans="1:11" ht="12.75">
      <c r="A6" s="14" t="s">
        <v>4</v>
      </c>
      <c r="B6" s="14" t="s">
        <v>14</v>
      </c>
      <c r="C6" s="14" t="s">
        <v>19</v>
      </c>
      <c r="D6" s="14" t="s">
        <v>6</v>
      </c>
      <c r="E6" s="14" t="s">
        <v>20</v>
      </c>
      <c r="F6" s="14" t="s">
        <v>8</v>
      </c>
      <c r="G6" s="14" t="s">
        <v>33</v>
      </c>
      <c r="H6" s="14"/>
      <c r="I6" s="14" t="s">
        <v>51</v>
      </c>
      <c r="J6" s="14" t="s">
        <v>52</v>
      </c>
      <c r="K6" s="14"/>
    </row>
    <row r="7" spans="1:26" ht="12.75">
      <c r="A7" s="29">
        <v>10</v>
      </c>
      <c r="B7" s="29">
        <v>2004</v>
      </c>
      <c r="C7" s="30">
        <v>863152.93</v>
      </c>
      <c r="D7" s="30">
        <v>25894.59</v>
      </c>
      <c r="E7" s="30">
        <v>837258.34</v>
      </c>
      <c r="F7" s="31" t="s">
        <v>103</v>
      </c>
      <c r="G7" s="29">
        <v>11</v>
      </c>
      <c r="H7" s="29">
        <v>2004</v>
      </c>
      <c r="I7" s="30">
        <v>711669.59</v>
      </c>
      <c r="J7" s="30">
        <v>125588.75</v>
      </c>
      <c r="N7" s="52">
        <v>0.0557</v>
      </c>
      <c r="P7">
        <f>IF(I7&gt;0,1,0)</f>
        <v>1</v>
      </c>
      <c r="Q7" s="25">
        <f>DATE(B7,A7,1)</f>
        <v>38261</v>
      </c>
      <c r="R7" s="23">
        <f aca="true" t="shared" si="0" ref="R7:R18">IF(E7&gt;0,Q7,"")</f>
        <v>38261</v>
      </c>
      <c r="T7" s="24">
        <f>IF(P7=1,(F7+1),"")</f>
        <v>0.9594</v>
      </c>
      <c r="U7" s="22">
        <f>IF(P7=1,C7/T7,"")</f>
        <v>899679.9353762768</v>
      </c>
      <c r="V7" s="22"/>
      <c r="X7" s="22">
        <f>IF(P7=1,E7/T7,"")</f>
        <v>872689.5351261204</v>
      </c>
      <c r="Y7" s="22">
        <f>IF(P7=1,X7*0.85,"")</f>
        <v>741786.1048572024</v>
      </c>
      <c r="Z7" s="22">
        <f>IF(P7=1,X7*0.15,"")</f>
        <v>130903.43026891806</v>
      </c>
    </row>
    <row r="8" spans="1:26" ht="12.75">
      <c r="A8" s="29">
        <v>11</v>
      </c>
      <c r="B8" s="29">
        <v>2004</v>
      </c>
      <c r="C8" s="30">
        <v>906675.68</v>
      </c>
      <c r="D8" s="30">
        <v>27200.27</v>
      </c>
      <c r="E8" s="30">
        <v>879475.41</v>
      </c>
      <c r="F8" s="31" t="s">
        <v>104</v>
      </c>
      <c r="G8" s="29">
        <v>12</v>
      </c>
      <c r="H8" s="29">
        <v>2004</v>
      </c>
      <c r="I8" s="30">
        <v>747554.1</v>
      </c>
      <c r="J8" s="30">
        <v>131921.31</v>
      </c>
      <c r="P8">
        <f aca="true" t="shared" si="1" ref="P8:P18">IF(I8&gt;0,1,0)</f>
        <v>1</v>
      </c>
      <c r="Q8" s="25">
        <f aca="true" t="shared" si="2" ref="Q8:Q18">DATE(B8,A8,1)</f>
        <v>38292</v>
      </c>
      <c r="R8" s="23">
        <f t="shared" si="0"/>
        <v>38292</v>
      </c>
      <c r="T8" s="24">
        <f aca="true" t="shared" si="3" ref="T8:T18">IF(P8=1,(F8+1),"")</f>
        <v>1.12</v>
      </c>
      <c r="U8" s="22">
        <f aca="true" t="shared" si="4" ref="U8:U18">IF(P8=1,C8/T8,"")</f>
        <v>809531.8571428572</v>
      </c>
      <c r="V8" s="22"/>
      <c r="X8" s="22">
        <f aca="true" t="shared" si="5" ref="X8:X18">IF(P8=1,E8/T8,"")</f>
        <v>785245.9017857142</v>
      </c>
      <c r="Y8" s="22">
        <f aca="true" t="shared" si="6" ref="Y8:Y18">IF(P8=1,X8*0.85,"")</f>
        <v>667459.0165178571</v>
      </c>
      <c r="Z8" s="22">
        <f aca="true" t="shared" si="7" ref="Z8:Z18">IF(P8=1,X8*0.15,"")</f>
        <v>117786.88526785713</v>
      </c>
    </row>
    <row r="9" spans="1:26" ht="12.75">
      <c r="A9" s="29">
        <v>12</v>
      </c>
      <c r="B9" s="29">
        <v>2004</v>
      </c>
      <c r="C9" s="30">
        <v>949672.81</v>
      </c>
      <c r="D9" s="30">
        <v>28490.18</v>
      </c>
      <c r="E9" s="30">
        <v>921182.63</v>
      </c>
      <c r="F9" s="31" t="s">
        <v>105</v>
      </c>
      <c r="G9" s="29">
        <v>1</v>
      </c>
      <c r="H9" s="29">
        <v>2005</v>
      </c>
      <c r="I9" s="30">
        <v>783005.23</v>
      </c>
      <c r="J9" s="30">
        <v>138177.39</v>
      </c>
      <c r="P9">
        <f t="shared" si="1"/>
        <v>1</v>
      </c>
      <c r="Q9" s="25">
        <f t="shared" si="2"/>
        <v>38322</v>
      </c>
      <c r="R9" s="23">
        <f t="shared" si="0"/>
        <v>38322</v>
      </c>
      <c r="T9" s="24">
        <f t="shared" si="3"/>
        <v>1.0111</v>
      </c>
      <c r="U9" s="22">
        <f t="shared" si="4"/>
        <v>939247.1664523785</v>
      </c>
      <c r="V9" s="22"/>
      <c r="X9" s="22">
        <f t="shared" si="5"/>
        <v>911069.7557116011</v>
      </c>
      <c r="Y9" s="22">
        <f t="shared" si="6"/>
        <v>774409.2923548609</v>
      </c>
      <c r="Z9" s="22">
        <f t="shared" si="7"/>
        <v>136660.46335674016</v>
      </c>
    </row>
    <row r="10" spans="1:26" ht="12.75">
      <c r="A10" s="29">
        <v>1</v>
      </c>
      <c r="B10" s="29">
        <v>2005</v>
      </c>
      <c r="C10" s="30">
        <v>1097252.25</v>
      </c>
      <c r="D10" s="30">
        <v>32917.57</v>
      </c>
      <c r="E10" s="30">
        <v>1064334.68</v>
      </c>
      <c r="F10" s="31" t="s">
        <v>106</v>
      </c>
      <c r="G10" s="29">
        <v>2</v>
      </c>
      <c r="H10" s="29">
        <v>2005</v>
      </c>
      <c r="I10" s="30">
        <v>904684.48</v>
      </c>
      <c r="J10" s="30">
        <v>159650.2</v>
      </c>
      <c r="P10">
        <f t="shared" si="1"/>
        <v>1</v>
      </c>
      <c r="Q10" s="25">
        <f t="shared" si="2"/>
        <v>38353</v>
      </c>
      <c r="R10" s="23">
        <f t="shared" si="0"/>
        <v>38353</v>
      </c>
      <c r="T10" s="24">
        <f t="shared" si="3"/>
        <v>1.0269</v>
      </c>
      <c r="U10" s="22">
        <f t="shared" si="4"/>
        <v>1068509.348524686</v>
      </c>
      <c r="V10" s="22"/>
      <c r="X10" s="22">
        <f t="shared" si="5"/>
        <v>1036454.0656344338</v>
      </c>
      <c r="Y10" s="22">
        <f t="shared" si="6"/>
        <v>880985.9557892687</v>
      </c>
      <c r="Z10" s="22">
        <f t="shared" si="7"/>
        <v>155468.10984516505</v>
      </c>
    </row>
    <row r="11" spans="1:26" ht="12.75">
      <c r="A11" s="29">
        <v>2</v>
      </c>
      <c r="B11" s="29">
        <v>2005</v>
      </c>
      <c r="C11" s="30">
        <v>975714.17</v>
      </c>
      <c r="D11" s="30">
        <v>29271.43</v>
      </c>
      <c r="E11" s="30">
        <v>946442.74</v>
      </c>
      <c r="F11" s="31" t="s">
        <v>107</v>
      </c>
      <c r="G11" s="29">
        <v>3</v>
      </c>
      <c r="H11" s="29">
        <v>2005</v>
      </c>
      <c r="I11" s="30">
        <v>804476.33</v>
      </c>
      <c r="J11" s="30">
        <v>141966.41</v>
      </c>
      <c r="P11">
        <f t="shared" si="1"/>
        <v>1</v>
      </c>
      <c r="Q11" s="25">
        <f t="shared" si="2"/>
        <v>38384</v>
      </c>
      <c r="R11" s="23">
        <f t="shared" si="0"/>
        <v>38384</v>
      </c>
      <c r="T11" s="24">
        <f t="shared" si="3"/>
        <v>1.0203</v>
      </c>
      <c r="U11" s="22">
        <f t="shared" si="4"/>
        <v>956301.2545329805</v>
      </c>
      <c r="V11" s="22"/>
      <c r="X11" s="22">
        <f t="shared" si="5"/>
        <v>927612.212094482</v>
      </c>
      <c r="Y11" s="22">
        <f t="shared" si="6"/>
        <v>788470.3802803097</v>
      </c>
      <c r="Z11" s="22">
        <f t="shared" si="7"/>
        <v>139141.8318141723</v>
      </c>
    </row>
    <row r="12" spans="1:26" ht="12.75">
      <c r="A12" s="29">
        <v>3</v>
      </c>
      <c r="B12" s="29">
        <v>2005</v>
      </c>
      <c r="C12" s="30">
        <v>1150858.32</v>
      </c>
      <c r="D12" s="30">
        <v>34525.75</v>
      </c>
      <c r="E12" s="30">
        <v>1116332.57</v>
      </c>
      <c r="F12" s="31" t="s">
        <v>108</v>
      </c>
      <c r="G12" s="29">
        <v>4</v>
      </c>
      <c r="H12" s="29">
        <v>2005</v>
      </c>
      <c r="I12" s="30">
        <v>948882.68</v>
      </c>
      <c r="J12" s="30">
        <v>167449.89</v>
      </c>
      <c r="P12">
        <f t="shared" si="1"/>
        <v>1</v>
      </c>
      <c r="Q12" s="25">
        <f t="shared" si="2"/>
        <v>38412</v>
      </c>
      <c r="R12" s="23">
        <f t="shared" si="0"/>
        <v>38412</v>
      </c>
      <c r="T12" s="24">
        <f t="shared" si="3"/>
        <v>1.2463</v>
      </c>
      <c r="U12" s="22">
        <f t="shared" si="4"/>
        <v>923419.9791382493</v>
      </c>
      <c r="V12" s="22"/>
      <c r="X12" s="22">
        <f t="shared" si="5"/>
        <v>895717.3794431518</v>
      </c>
      <c r="Y12" s="22">
        <f t="shared" si="6"/>
        <v>761359.772526679</v>
      </c>
      <c r="Z12" s="22">
        <f t="shared" si="7"/>
        <v>134357.60691647275</v>
      </c>
    </row>
    <row r="13" spans="1:26" ht="12.75">
      <c r="A13" s="29">
        <v>4</v>
      </c>
      <c r="B13" s="29">
        <v>2005</v>
      </c>
      <c r="C13" s="30">
        <v>1073307.59</v>
      </c>
      <c r="D13" s="30">
        <v>32199.23</v>
      </c>
      <c r="E13" s="30">
        <v>1041108.36</v>
      </c>
      <c r="F13" s="31" t="s">
        <v>109</v>
      </c>
      <c r="G13" s="29">
        <v>5</v>
      </c>
      <c r="H13" s="29">
        <v>2005</v>
      </c>
      <c r="I13" s="30">
        <v>884942.11</v>
      </c>
      <c r="J13" s="30">
        <v>156166.25</v>
      </c>
      <c r="P13">
        <f t="shared" si="1"/>
        <v>1</v>
      </c>
      <c r="Q13" s="25">
        <f t="shared" si="2"/>
        <v>38443</v>
      </c>
      <c r="R13" s="23">
        <f t="shared" si="0"/>
        <v>38443</v>
      </c>
      <c r="T13" s="24">
        <f t="shared" si="3"/>
        <v>1.0777</v>
      </c>
      <c r="U13" s="22">
        <f t="shared" si="4"/>
        <v>995924.2739166744</v>
      </c>
      <c r="V13" s="22">
        <f aca="true" t="shared" si="8" ref="V13:V18">IF(P13=1,U13*0.85,"")</f>
        <v>846535.6328291732</v>
      </c>
      <c r="X13" s="22">
        <f t="shared" si="5"/>
        <v>966046.5435649995</v>
      </c>
      <c r="Y13" s="22">
        <f t="shared" si="6"/>
        <v>821139.5620302495</v>
      </c>
      <c r="Z13" s="22">
        <f t="shared" si="7"/>
        <v>144906.9815347499</v>
      </c>
    </row>
    <row r="14" spans="1:26" ht="12.75">
      <c r="A14" s="29">
        <v>5</v>
      </c>
      <c r="B14" s="29">
        <v>2005</v>
      </c>
      <c r="C14" s="30">
        <v>1213407.22</v>
      </c>
      <c r="D14" s="30">
        <v>36402.22</v>
      </c>
      <c r="E14" s="30">
        <v>1177005</v>
      </c>
      <c r="F14" s="31" t="s">
        <v>110</v>
      </c>
      <c r="G14" s="29">
        <v>6</v>
      </c>
      <c r="H14" s="29">
        <v>2005</v>
      </c>
      <c r="I14" s="30">
        <v>1000454.25</v>
      </c>
      <c r="J14" s="30">
        <v>176550.75</v>
      </c>
      <c r="P14">
        <f t="shared" si="1"/>
        <v>1</v>
      </c>
      <c r="Q14" s="25">
        <f t="shared" si="2"/>
        <v>38473</v>
      </c>
      <c r="R14" s="23">
        <f t="shared" si="0"/>
        <v>38473</v>
      </c>
      <c r="T14" s="24">
        <f t="shared" si="3"/>
        <v>1.2176</v>
      </c>
      <c r="U14" s="22">
        <f t="shared" si="4"/>
        <v>996556.5210249671</v>
      </c>
      <c r="V14" s="22">
        <f t="shared" si="8"/>
        <v>847073.042871222</v>
      </c>
      <c r="X14" s="22">
        <f t="shared" si="5"/>
        <v>966659.8226018397</v>
      </c>
      <c r="Y14" s="22">
        <f t="shared" si="6"/>
        <v>821660.8492115637</v>
      </c>
      <c r="Z14" s="22">
        <f t="shared" si="7"/>
        <v>144998.97339027593</v>
      </c>
    </row>
    <row r="15" spans="1:26" ht="12.75">
      <c r="A15" s="29">
        <v>6</v>
      </c>
      <c r="B15" s="29">
        <v>2005</v>
      </c>
      <c r="C15" s="30">
        <v>1082214.99</v>
      </c>
      <c r="D15" s="30">
        <v>32466.45</v>
      </c>
      <c r="E15" s="30">
        <v>1049748.54</v>
      </c>
      <c r="F15" s="31" t="s">
        <v>111</v>
      </c>
      <c r="G15" s="29">
        <v>7</v>
      </c>
      <c r="H15" s="29">
        <v>2005</v>
      </c>
      <c r="I15" s="30">
        <v>892286.26</v>
      </c>
      <c r="J15" s="30">
        <v>157462.28</v>
      </c>
      <c r="P15">
        <f t="shared" si="1"/>
        <v>1</v>
      </c>
      <c r="Q15" s="25">
        <f t="shared" si="2"/>
        <v>38504</v>
      </c>
      <c r="R15" s="23">
        <f t="shared" si="0"/>
        <v>38504</v>
      </c>
      <c r="T15" s="24">
        <f t="shared" si="3"/>
        <v>1.1062</v>
      </c>
      <c r="U15" s="22">
        <f t="shared" si="4"/>
        <v>978317.6550352557</v>
      </c>
      <c r="V15" s="22">
        <f t="shared" si="8"/>
        <v>831570.0067799673</v>
      </c>
      <c r="X15" s="22">
        <f t="shared" si="5"/>
        <v>948968.1251129995</v>
      </c>
      <c r="Y15" s="22">
        <f t="shared" si="6"/>
        <v>806622.9063460495</v>
      </c>
      <c r="Z15" s="22">
        <f t="shared" si="7"/>
        <v>142345.21876694993</v>
      </c>
    </row>
    <row r="16" spans="1:26" ht="12.75">
      <c r="A16" s="29">
        <v>7</v>
      </c>
      <c r="B16" s="29">
        <v>2005</v>
      </c>
      <c r="C16" s="30">
        <v>985445.96</v>
      </c>
      <c r="D16" s="30">
        <v>29563.38</v>
      </c>
      <c r="E16" s="30">
        <v>955882.58</v>
      </c>
      <c r="F16" s="31" t="s">
        <v>112</v>
      </c>
      <c r="G16" s="29">
        <v>8</v>
      </c>
      <c r="H16" s="29">
        <v>2005</v>
      </c>
      <c r="I16" s="30">
        <v>812500.19</v>
      </c>
      <c r="J16" s="30">
        <v>143382.39</v>
      </c>
      <c r="P16">
        <f t="shared" si="1"/>
        <v>1</v>
      </c>
      <c r="Q16" s="25">
        <f t="shared" si="2"/>
        <v>38534</v>
      </c>
      <c r="R16" s="23">
        <f t="shared" si="0"/>
        <v>38534</v>
      </c>
      <c r="T16" s="24">
        <f t="shared" si="3"/>
        <v>1.0641</v>
      </c>
      <c r="U16" s="22">
        <f t="shared" si="4"/>
        <v>926083.9770698242</v>
      </c>
      <c r="V16" s="22">
        <f t="shared" si="8"/>
        <v>787171.3805093506</v>
      </c>
      <c r="X16" s="22">
        <f t="shared" si="5"/>
        <v>898301.4566300159</v>
      </c>
      <c r="Y16" s="22">
        <f t="shared" si="6"/>
        <v>763556.2381355135</v>
      </c>
      <c r="Z16" s="22">
        <f t="shared" si="7"/>
        <v>134745.21849450236</v>
      </c>
    </row>
    <row r="17" spans="1:26" ht="12.75">
      <c r="A17" s="29">
        <v>8</v>
      </c>
      <c r="B17" s="29">
        <v>2005</v>
      </c>
      <c r="C17" s="30">
        <v>1049613.91</v>
      </c>
      <c r="D17" s="30">
        <v>31488.42</v>
      </c>
      <c r="E17" s="30">
        <v>1018125.49</v>
      </c>
      <c r="F17" s="31" t="s">
        <v>113</v>
      </c>
      <c r="G17" s="29">
        <v>9</v>
      </c>
      <c r="H17" s="29">
        <v>2005</v>
      </c>
      <c r="I17" s="30">
        <v>865406.67</v>
      </c>
      <c r="J17" s="30">
        <v>152718.82</v>
      </c>
      <c r="P17">
        <f t="shared" si="1"/>
        <v>1</v>
      </c>
      <c r="Q17" s="25">
        <f t="shared" si="2"/>
        <v>38565</v>
      </c>
      <c r="R17" s="23">
        <f t="shared" si="0"/>
        <v>38565</v>
      </c>
      <c r="T17" s="24">
        <f t="shared" si="3"/>
        <v>1.1314</v>
      </c>
      <c r="U17" s="22">
        <f t="shared" si="4"/>
        <v>927712.4889517411</v>
      </c>
      <c r="V17" s="22">
        <f t="shared" si="8"/>
        <v>788555.61560898</v>
      </c>
      <c r="X17" s="22">
        <f t="shared" si="5"/>
        <v>899881.1118967651</v>
      </c>
      <c r="Y17" s="22">
        <f t="shared" si="6"/>
        <v>764898.9451122503</v>
      </c>
      <c r="Z17" s="22">
        <f t="shared" si="7"/>
        <v>134982.16678451476</v>
      </c>
    </row>
    <row r="18" spans="1:26" ht="12.75">
      <c r="A18" s="29">
        <v>9</v>
      </c>
      <c r="B18" s="29">
        <v>2005</v>
      </c>
      <c r="C18" s="30">
        <v>1024238.93</v>
      </c>
      <c r="D18" s="30">
        <v>30727.17</v>
      </c>
      <c r="E18" s="30">
        <v>993511.76</v>
      </c>
      <c r="F18" s="31" t="s">
        <v>114</v>
      </c>
      <c r="G18" s="29">
        <v>10</v>
      </c>
      <c r="H18" s="29">
        <v>2005</v>
      </c>
      <c r="I18" s="30">
        <v>844485</v>
      </c>
      <c r="J18" s="30">
        <v>149026.76</v>
      </c>
      <c r="P18">
        <f t="shared" si="1"/>
        <v>1</v>
      </c>
      <c r="Q18" s="25">
        <f t="shared" si="2"/>
        <v>38596</v>
      </c>
      <c r="R18" s="23">
        <f t="shared" si="0"/>
        <v>38596</v>
      </c>
      <c r="T18" s="24">
        <f t="shared" si="3"/>
        <v>1.1147</v>
      </c>
      <c r="U18" s="22">
        <f t="shared" si="4"/>
        <v>918847.1606710326</v>
      </c>
      <c r="V18" s="22">
        <f t="shared" si="8"/>
        <v>781020.0865703777</v>
      </c>
      <c r="X18" s="22">
        <f t="shared" si="5"/>
        <v>891281.7439669867</v>
      </c>
      <c r="Y18" s="22">
        <f t="shared" si="6"/>
        <v>757589.4823719386</v>
      </c>
      <c r="Z18" s="22">
        <f t="shared" si="7"/>
        <v>133692.26159504798</v>
      </c>
    </row>
    <row r="19" spans="1:24" ht="12.75">
      <c r="A19" s="14"/>
      <c r="B19" s="14"/>
      <c r="C19" s="15">
        <f>SUM(C7:C18)</f>
        <v>12371554.759999998</v>
      </c>
      <c r="D19" s="15">
        <f>SUM(D7:D18)</f>
        <v>371146.66</v>
      </c>
      <c r="E19" s="15">
        <f>SUM(E7:E18)</f>
        <v>12000408.1</v>
      </c>
      <c r="F19" s="20">
        <f>(C19/U19)-1</f>
        <v>0.09095336605624094</v>
      </c>
      <c r="G19" s="14"/>
      <c r="H19" s="14"/>
      <c r="I19" s="15">
        <f>SUM(I7:I18)</f>
        <v>10200346.89</v>
      </c>
      <c r="J19" s="15">
        <f>SUM(J7:J18)</f>
        <v>1800061.2000000002</v>
      </c>
      <c r="K19" s="14"/>
      <c r="P19">
        <f>SUM(P7:P18)</f>
        <v>12</v>
      </c>
      <c r="R19" s="2">
        <f>(F7+F8+F9+F10+F11+F12+F13+F14+F15+F16+F17+F18)/P19</f>
        <v>0.09130833333333332</v>
      </c>
      <c r="U19" s="22">
        <f>SUM(U7:U18)</f>
        <v>11340131.617836924</v>
      </c>
      <c r="X19" s="22">
        <f>IF(P19=1,F19/W19,"")</f>
      </c>
    </row>
    <row r="44" ht="12.75">
      <c r="C44" s="46">
        <f>SUM(C16:C18)</f>
        <v>3059298.8</v>
      </c>
    </row>
    <row r="45" ht="12.75">
      <c r="C45" s="46"/>
    </row>
    <row r="51" spans="1:11" ht="12.75">
      <c r="A51" s="14"/>
      <c r="B51" s="14"/>
      <c r="C51" s="14" t="s">
        <v>0</v>
      </c>
      <c r="D51" s="14"/>
      <c r="E51" s="14"/>
      <c r="F51" s="14"/>
      <c r="G51" s="14"/>
      <c r="H51" s="14"/>
      <c r="I51" s="14"/>
      <c r="J51" s="14"/>
      <c r="K51" s="14"/>
    </row>
    <row r="52" spans="1:11" ht="12.75">
      <c r="A52" s="14"/>
      <c r="B52" s="14"/>
      <c r="C52" s="14" t="s">
        <v>45</v>
      </c>
      <c r="D52" s="14"/>
      <c r="E52" s="14"/>
      <c r="F52" s="14"/>
      <c r="G52" s="14"/>
      <c r="H52" s="14"/>
      <c r="I52" s="14"/>
      <c r="J52" s="14"/>
      <c r="K52" s="14"/>
    </row>
    <row r="53" spans="1:11" ht="12.75">
      <c r="A53" s="14"/>
      <c r="B53" s="14"/>
      <c r="C53" s="14" t="s">
        <v>46</v>
      </c>
      <c r="D53" s="14"/>
      <c r="E53" s="14"/>
      <c r="F53" s="14"/>
      <c r="G53" s="14"/>
      <c r="H53" s="14"/>
      <c r="I53" s="14" t="s">
        <v>47</v>
      </c>
      <c r="J53" s="14" t="s">
        <v>48</v>
      </c>
      <c r="K53" s="14"/>
    </row>
    <row r="54" spans="1:11" ht="12.75">
      <c r="A54" s="14"/>
      <c r="B54" s="14"/>
      <c r="C54" s="14" t="s">
        <v>17</v>
      </c>
      <c r="D54" s="14"/>
      <c r="E54" s="14">
        <f>+E4</f>
        <v>2004</v>
      </c>
      <c r="F54" s="14" t="s">
        <v>3</v>
      </c>
      <c r="G54" s="14">
        <f>+E4+1</f>
        <v>2005</v>
      </c>
      <c r="H54" s="14"/>
      <c r="I54" s="14"/>
      <c r="J54" s="14"/>
      <c r="K54" s="14"/>
    </row>
    <row r="55" spans="1:11" ht="12.75">
      <c r="A55" s="14"/>
      <c r="B55" s="14"/>
      <c r="C55" s="14"/>
      <c r="D55" s="14"/>
      <c r="E55" s="14"/>
      <c r="F55" s="14" t="s">
        <v>49</v>
      </c>
      <c r="G55" s="14"/>
      <c r="H55" s="14"/>
      <c r="I55" s="14" t="s">
        <v>50</v>
      </c>
      <c r="J55" s="14" t="s">
        <v>23</v>
      </c>
      <c r="K55" s="14"/>
    </row>
    <row r="56" spans="1:11" ht="12.75">
      <c r="A56" s="14" t="s">
        <v>56</v>
      </c>
      <c r="B56" s="14" t="s">
        <v>15</v>
      </c>
      <c r="C56" s="14" t="s">
        <v>19</v>
      </c>
      <c r="D56" s="14" t="s">
        <v>6</v>
      </c>
      <c r="E56" s="14" t="s">
        <v>20</v>
      </c>
      <c r="F56" s="14" t="s">
        <v>8</v>
      </c>
      <c r="G56" s="14" t="s">
        <v>63</v>
      </c>
      <c r="H56" s="14" t="s">
        <v>15</v>
      </c>
      <c r="I56" s="14" t="s">
        <v>51</v>
      </c>
      <c r="J56" s="14" t="s">
        <v>52</v>
      </c>
      <c r="K56" s="14"/>
    </row>
    <row r="57" spans="1:16" ht="12.75">
      <c r="A57">
        <v>1</v>
      </c>
      <c r="B57" t="s">
        <v>64</v>
      </c>
      <c r="C57" s="26">
        <f>+C7+C8+C9</f>
        <v>2719501.42</v>
      </c>
      <c r="D57" s="26">
        <f>+D7+D8+D9</f>
        <v>81585.04000000001</v>
      </c>
      <c r="E57" s="26">
        <f>+E7+E8+E9</f>
        <v>2637916.38</v>
      </c>
      <c r="F57" s="36">
        <f>(F7+F8+F9)/P57</f>
        <v>0.030166666666666665</v>
      </c>
      <c r="G57">
        <f aca="true" t="shared" si="9" ref="G57:H60">+A57</f>
        <v>1</v>
      </c>
      <c r="H57" s="43" t="str">
        <f t="shared" si="9"/>
        <v> 2003-2004</v>
      </c>
      <c r="I57" s="26">
        <f>+I7+I8+I9</f>
        <v>2242228.92</v>
      </c>
      <c r="J57" s="26">
        <f>+J7+J8+J9</f>
        <v>395687.45</v>
      </c>
      <c r="P57" s="45">
        <f>+P7+P8+P9</f>
        <v>3</v>
      </c>
    </row>
    <row r="58" spans="1:16" ht="12.75">
      <c r="A58">
        <v>2</v>
      </c>
      <c r="B58" t="str">
        <f>+B57</f>
        <v> 2003-2004</v>
      </c>
      <c r="C58" s="26">
        <f>+C10+C11+C12</f>
        <v>3223824.74</v>
      </c>
      <c r="D58" s="26">
        <f>+D10+D11+D12</f>
        <v>96714.75</v>
      </c>
      <c r="E58" s="26">
        <f>+E10+E11+E12</f>
        <v>3127109.99</v>
      </c>
      <c r="F58" s="36">
        <f>(F8+F9+F10)/P58</f>
        <v>0.05266666666666667</v>
      </c>
      <c r="G58">
        <f t="shared" si="9"/>
        <v>2</v>
      </c>
      <c r="H58" s="43" t="str">
        <f t="shared" si="9"/>
        <v> 2003-2004</v>
      </c>
      <c r="I58" s="26">
        <f>+I10+I11+I12</f>
        <v>2658043.49</v>
      </c>
      <c r="J58" s="26">
        <f>+J10+J11+J12</f>
        <v>469066.5</v>
      </c>
      <c r="P58" s="45">
        <f>+P10+P11+P12</f>
        <v>3</v>
      </c>
    </row>
    <row r="59" spans="1:16" ht="12.75">
      <c r="A59">
        <v>3</v>
      </c>
      <c r="B59" t="str">
        <f>+B57</f>
        <v> 2003-2004</v>
      </c>
      <c r="C59" s="26">
        <f>+C13+C14+C15</f>
        <v>3368929.8</v>
      </c>
      <c r="D59" s="26">
        <f>+D13+D14+D15</f>
        <v>101067.9</v>
      </c>
      <c r="E59" s="26">
        <f>+E13+E14+E15</f>
        <v>3267861.9</v>
      </c>
      <c r="F59" s="36">
        <f>(F9+F10+F11)/P59</f>
        <v>0.019433333333333334</v>
      </c>
      <c r="G59">
        <f t="shared" si="9"/>
        <v>3</v>
      </c>
      <c r="H59" s="43" t="str">
        <f t="shared" si="9"/>
        <v> 2003-2004</v>
      </c>
      <c r="I59" s="26">
        <f>+I13+I14+I15</f>
        <v>2777682.62</v>
      </c>
      <c r="J59" s="26">
        <f>+J13+J14+J15</f>
        <v>490179.28</v>
      </c>
      <c r="P59" s="45">
        <f>+P13+P14+P15</f>
        <v>3</v>
      </c>
    </row>
    <row r="60" spans="1:16" ht="12.75">
      <c r="A60">
        <v>4</v>
      </c>
      <c r="B60" t="str">
        <f>+B57</f>
        <v> 2003-2004</v>
      </c>
      <c r="C60" s="26">
        <f>+C16+C17+C18</f>
        <v>3059298.8</v>
      </c>
      <c r="D60" s="26">
        <f>+D16+D17+D18</f>
        <v>91778.97</v>
      </c>
      <c r="E60" s="26">
        <f>+E16+E17+E18</f>
        <v>2967519.83</v>
      </c>
      <c r="F60" s="36">
        <f>(F10+F11+F12)/P60</f>
        <v>0.09783333333333333</v>
      </c>
      <c r="G60">
        <f t="shared" si="9"/>
        <v>4</v>
      </c>
      <c r="H60" s="43" t="str">
        <f t="shared" si="9"/>
        <v> 2003-2004</v>
      </c>
      <c r="I60" s="26">
        <f>+I16+I17+I18</f>
        <v>2522391.86</v>
      </c>
      <c r="J60" s="26">
        <f>+J16+J17+J18</f>
        <v>445127.97000000003</v>
      </c>
      <c r="P60" s="45">
        <f>+P16+P17+P18</f>
        <v>3</v>
      </c>
    </row>
    <row r="61" spans="1:10" ht="12.75">
      <c r="A61" s="14" t="s">
        <v>54</v>
      </c>
      <c r="B61" s="14"/>
      <c r="C61" s="44">
        <f>SUM(C57:C60)</f>
        <v>12371554.760000002</v>
      </c>
      <c r="D61" s="44">
        <f>SUM(D57:D60)</f>
        <v>371146.66000000003</v>
      </c>
      <c r="E61" s="44">
        <f>SUM(E57:E60)</f>
        <v>12000408.1</v>
      </c>
      <c r="F61" s="20">
        <f>+F19</f>
        <v>0.09095336605624094</v>
      </c>
      <c r="G61" s="14"/>
      <c r="H61" s="14"/>
      <c r="I61" s="44">
        <f>SUM(I57:I60)</f>
        <v>10200346.89</v>
      </c>
      <c r="J61" s="44">
        <f>SUM(J57:J60)</f>
        <v>1800061.2</v>
      </c>
    </row>
  </sheetData>
  <sheetProtection/>
  <printOptions horizontalCentered="1" verticalCentered="1"/>
  <pageMargins left="0.75" right="0.75" top="1" bottom="1" header="0.5" footer="0.5"/>
  <pageSetup fitToHeight="0" fitToWidth="1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allen eagle</cp:lastModifiedBy>
  <cp:lastPrinted>2004-10-29T18:28:48Z</cp:lastPrinted>
  <dcterms:created xsi:type="dcterms:W3CDTF">1996-10-14T23:33:28Z</dcterms:created>
  <dcterms:modified xsi:type="dcterms:W3CDTF">2014-10-06T15:34:16Z</dcterms:modified>
  <cp:category/>
  <cp:version/>
  <cp:contentType/>
  <cp:contentStatus/>
</cp:coreProperties>
</file>