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75" yWindow="6360" windowWidth="13440" windowHeight="6495" tabRatio="941" activeTab="3"/>
  </bookViews>
  <sheets>
    <sheet name="ConventionTaxTable" sheetId="1" r:id="rId1"/>
    <sheet name="TouristTaxTable" sheetId="2" r:id="rId2"/>
    <sheet name="SportsTaxTable" sheetId="3" r:id="rId3"/>
    <sheet name="FoodandBeverageTaxTable" sheetId="4" r:id="rId4"/>
    <sheet name="HomelessTaxTable" sheetId="5" r:id="rId5"/>
    <sheet name="SlotMachineTable" sheetId="6" r:id="rId6"/>
  </sheets>
  <definedNames>
    <definedName name="ConventionTaxTable">'ConventionTaxTable'!$A$1:$L$18</definedName>
    <definedName name="FoodandBeverageDistribution">'FoodandBeverageTaxTable'!$A$22:$G$39</definedName>
    <definedName name="FoodandBeverageTaxTable">'FoodandBeverageTaxTable'!$A$1:$I$18</definedName>
    <definedName name="HomlessTaxTable">'HomelessTaxTable'!$A$1:$K$19</definedName>
    <definedName name="MonthlyTable">#REF!</definedName>
    <definedName name="_xlnm.Print_Area" localSheetId="0">'ConventionTaxTable'!$A$51:$L$60</definedName>
    <definedName name="_xlnm.Print_Area" localSheetId="3">'FoodandBeverageTaxTable'!$A$85:$G$94</definedName>
    <definedName name="_xlnm.Print_Area" localSheetId="4">'HomelessTaxTable'!$A$71:$I$80</definedName>
    <definedName name="_xlnm.Print_Area" localSheetId="2">'SportsTaxTable'!$A$51:$I$60</definedName>
    <definedName name="_xlnm.Print_Area" localSheetId="1">'TouristTaxTable'!$A$86:$I$94</definedName>
    <definedName name="SportsTaxTable">'SportsTaxTable'!$A$1:$I$18</definedName>
    <definedName name="TouristDistributionTable">'TouristTaxTable'!$A$22:$I$39</definedName>
    <definedName name="TouristTaxTable">'TouristTaxTable'!$A$1:$I$18</definedName>
    <definedName name="TwoYears">#REF!</definedName>
  </definedNames>
  <calcPr fullCalcOnLoad="1"/>
</workbook>
</file>

<file path=xl/sharedStrings.xml><?xml version="1.0" encoding="utf-8"?>
<sst xmlns="http://schemas.openxmlformats.org/spreadsheetml/2006/main" count="294" uniqueCount="122">
  <si>
    <t xml:space="preserve">Metropolitan Dade County - Convention Development and Tourist </t>
  </si>
  <si>
    <t xml:space="preserve">                                               Analysis of the 3% Convention Development Tax</t>
  </si>
  <si>
    <t xml:space="preserve">                               Fiscal Year</t>
  </si>
  <si>
    <t>-</t>
  </si>
  <si>
    <t xml:space="preserve">Collection </t>
  </si>
  <si>
    <t>Dade County</t>
  </si>
  <si>
    <t>Collection Fee</t>
  </si>
  <si>
    <t>Net Collection Fee</t>
  </si>
  <si>
    <t>Change</t>
  </si>
  <si>
    <t>Distribution</t>
  </si>
  <si>
    <t>Subfund153</t>
  </si>
  <si>
    <t>Pref Arts</t>
  </si>
  <si>
    <t>NET</t>
  </si>
  <si>
    <t>Subfund157</t>
  </si>
  <si>
    <t>Month</t>
  </si>
  <si>
    <t>Year</t>
  </si>
  <si>
    <t xml:space="preserve">Analysis of 1% Professional Sports Franchise Facility </t>
  </si>
  <si>
    <t>for fiscal year</t>
  </si>
  <si>
    <t>Coll.</t>
  </si>
  <si>
    <t>Gross</t>
  </si>
  <si>
    <t>Net</t>
  </si>
  <si>
    <t>% Change</t>
  </si>
  <si>
    <t xml:space="preserve">Distribution </t>
  </si>
  <si>
    <t>Subfund 154</t>
  </si>
  <si>
    <t>Metropolitan Dade County - Convention Development Room Tax</t>
  </si>
  <si>
    <t>Analysis of 2% Tourist  Development Room Tax</t>
  </si>
  <si>
    <t>For Fiscal Year</t>
  </si>
  <si>
    <t>CollectionFee</t>
  </si>
  <si>
    <t xml:space="preserve">  Net            </t>
  </si>
  <si>
    <t>Subfund151</t>
  </si>
  <si>
    <t xml:space="preserve">Metropolitan Dade County - Convention Development And Tourist Tax </t>
  </si>
  <si>
    <t xml:space="preserve">Analysis of 2% Tourist Development Room </t>
  </si>
  <si>
    <t xml:space="preserve">For Fiscal </t>
  </si>
  <si>
    <t>Distribution Month</t>
  </si>
  <si>
    <t>CountySupport</t>
  </si>
  <si>
    <t>Balance</t>
  </si>
  <si>
    <t>GMCVB</t>
  </si>
  <si>
    <t>CulterialAffiars</t>
  </si>
  <si>
    <t>CityOfMiami</t>
  </si>
  <si>
    <t>TotalDist</t>
  </si>
  <si>
    <t>Metropolitan Dade County - Convention Development and Tourist Tax</t>
  </si>
  <si>
    <t>Analysis of 2% Tourist  Development Sur Tax Hotel/Motel Food and Beverage</t>
  </si>
  <si>
    <t>Subfund152</t>
  </si>
  <si>
    <t>Analysis of 2% Tourist Development Sur Tax Hotel/Motel Food and Beverage</t>
  </si>
  <si>
    <t>TDC 100,000</t>
  </si>
  <si>
    <t>Analysis of 1% Homeless &amp; Spouse Abuse Tax</t>
  </si>
  <si>
    <t>Alcoholic License Food and Beverage</t>
  </si>
  <si>
    <t>See Chart</t>
  </si>
  <si>
    <t xml:space="preserve">See Chart </t>
  </si>
  <si>
    <t xml:space="preserve">% </t>
  </si>
  <si>
    <t>Subfund 155</t>
  </si>
  <si>
    <t>Homeless Trust</t>
  </si>
  <si>
    <t>Domestic Violence</t>
  </si>
  <si>
    <t xml:space="preserve"> </t>
  </si>
  <si>
    <t>Total</t>
  </si>
  <si>
    <t>TDC 800,000</t>
  </si>
  <si>
    <t>Qtr.</t>
  </si>
  <si>
    <t>Quarterly</t>
  </si>
  <si>
    <t xml:space="preserve">               Fiscal Year</t>
  </si>
  <si>
    <t>Subfund154</t>
  </si>
  <si>
    <t xml:space="preserve">                                             Analysis of 1% Professional Sports Franchise Facility </t>
  </si>
  <si>
    <t>Qtr</t>
  </si>
  <si>
    <t>Totals</t>
  </si>
  <si>
    <t xml:space="preserve"> TOTAL</t>
  </si>
  <si>
    <t>.</t>
  </si>
  <si>
    <t>Subfund 162</t>
  </si>
  <si>
    <t xml:space="preserve">Distribution to </t>
  </si>
  <si>
    <t>Cultural Affiars</t>
  </si>
  <si>
    <t>Miami Dade</t>
  </si>
  <si>
    <t>2008-2009</t>
  </si>
  <si>
    <t xml:space="preserve"> 2008-2009</t>
  </si>
  <si>
    <t>TDC 1,000,000</t>
  </si>
  <si>
    <t>Metropolitan Dade County - Slot Machine Tax</t>
  </si>
  <si>
    <t xml:space="preserve">1 1/2 % Tax </t>
  </si>
  <si>
    <t>Fiscal Year</t>
  </si>
  <si>
    <t>18.26%</t>
  </si>
  <si>
    <t>12.79%</t>
  </si>
  <si>
    <t>21.25%</t>
  </si>
  <si>
    <t>15.56%</t>
  </si>
  <si>
    <t>29.95%</t>
  </si>
  <si>
    <t>21.91%</t>
  </si>
  <si>
    <t>5.33%</t>
  </si>
  <si>
    <t>1.33%</t>
  </si>
  <si>
    <t>35.36%</t>
  </si>
  <si>
    <t>47.04%</t>
  </si>
  <si>
    <t>70.61%</t>
  </si>
  <si>
    <t>16.77%</t>
  </si>
  <si>
    <t>4.42%</t>
  </si>
  <si>
    <t>-3.52%</t>
  </si>
  <si>
    <t>1.84%</t>
  </si>
  <si>
    <t>11.08%</t>
  </si>
  <si>
    <t>19.89%</t>
  </si>
  <si>
    <t>-22.81%</t>
  </si>
  <si>
    <t>Net Feb 2011 No Internet</t>
  </si>
  <si>
    <t>18.25%</t>
  </si>
  <si>
    <t>22.59%</t>
  </si>
  <si>
    <t>16.69%</t>
  </si>
  <si>
    <t>11.90%</t>
  </si>
  <si>
    <t>9.29%</t>
  </si>
  <si>
    <t>2.95%</t>
  </si>
  <si>
    <t>10.14%</t>
  </si>
  <si>
    <t>9.90%</t>
  </si>
  <si>
    <t>8.06%</t>
  </si>
  <si>
    <t>11.26%</t>
  </si>
  <si>
    <t>4.86%</t>
  </si>
  <si>
    <t>10.54%</t>
  </si>
  <si>
    <t>4.46%</t>
  </si>
  <si>
    <t>10.00%</t>
  </si>
  <si>
    <t>5.64%</t>
  </si>
  <si>
    <t>11.19%</t>
  </si>
  <si>
    <t>12.87%</t>
  </si>
  <si>
    <t>2.52%</t>
  </si>
  <si>
    <t>14.08%</t>
  </si>
  <si>
    <t>10.89%</t>
  </si>
  <si>
    <t>19.70%</t>
  </si>
  <si>
    <t>12.70%</t>
  </si>
  <si>
    <t>1.74%</t>
  </si>
  <si>
    <t>6.81%</t>
  </si>
  <si>
    <t>7.48%</t>
  </si>
  <si>
    <t>4.22%</t>
  </si>
  <si>
    <t>0.14%</t>
  </si>
  <si>
    <t>0.62%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</si>
</sst>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"/>
    <numFmt numFmtId="167" formatCode="mmmm"/>
    <numFmt numFmtId="168" formatCode="&quot;$&quot;#,##0;\-0;;@\ "/>
    <numFmt numFmtId="169" formatCode="0.0000"/>
    <numFmt numFmtId="170" formatCode="&quot;$&quot;##,#00;\-0;;@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m"/>
    <numFmt numFmtId="175" formatCode="&quot;$&quot;#,##0.00;\(&quot;$&quot;#,##0.00\)"/>
    <numFmt numFmtId="176" formatCode="0.0%"/>
    <numFmt numFmtId="177" formatCode="#,##0.000000000000000"/>
    <numFmt numFmtId="178" formatCode="\$#,##0"/>
    <numFmt numFmtId="179" formatCode="\$#,##0;\-0;;@\ "/>
    <numFmt numFmtId="180" formatCode="\$#,##0_);[Red]\(\$#,##0\)"/>
    <numFmt numFmtId="181" formatCode="\$##,#00;\-0;;@\ "/>
    <numFmt numFmtId="182" formatCode="[$€-2]\ #,##0.00_);[Red]\([$€-2]\ #,##0.00\)"/>
    <numFmt numFmtId="183" formatCode="0.00000"/>
    <numFmt numFmtId="184" formatCode="#,##0.0000000000000000"/>
    <numFmt numFmtId="185" formatCode="#,##0.00000"/>
    <numFmt numFmtId="186" formatCode="#,##0.000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sz val="23"/>
      <color indexed="8"/>
      <name val="Arial"/>
      <family val="0"/>
    </font>
    <font>
      <sz val="9.2"/>
      <color indexed="8"/>
      <name val="Arial"/>
      <family val="0"/>
    </font>
    <font>
      <sz val="19.5"/>
      <color indexed="8"/>
      <name val="Arial"/>
      <family val="0"/>
    </font>
    <font>
      <sz val="7.35"/>
      <color indexed="8"/>
      <name val="Arial"/>
      <family val="0"/>
    </font>
    <font>
      <sz val="20.5"/>
      <color indexed="8"/>
      <name val="Arial"/>
      <family val="0"/>
    </font>
    <font>
      <sz val="10.5"/>
      <color indexed="8"/>
      <name val="Arial"/>
      <family val="0"/>
    </font>
    <font>
      <sz val="11"/>
      <color indexed="8"/>
      <name val="Arial"/>
      <family val="0"/>
    </font>
    <font>
      <sz val="20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sz val="1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3"/>
      <color indexed="8"/>
      <name val="Arial"/>
      <family val="0"/>
    </font>
    <font>
      <b/>
      <sz val="27.5"/>
      <color indexed="8"/>
      <name val="Arial"/>
      <family val="0"/>
    </font>
    <font>
      <b/>
      <sz val="21.75"/>
      <color indexed="8"/>
      <name val="Arial"/>
      <family val="0"/>
    </font>
    <font>
      <b/>
      <sz val="23.5"/>
      <color indexed="8"/>
      <name val="Arial"/>
      <family val="0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b/>
      <sz val="20"/>
      <color indexed="8"/>
      <name val="Arial"/>
      <family val="0"/>
    </font>
    <font>
      <b/>
      <sz val="23.75"/>
      <color indexed="8"/>
      <name val="Arial"/>
      <family val="0"/>
    </font>
    <font>
      <b/>
      <sz val="18.25"/>
      <color indexed="8"/>
      <name val="Arial"/>
      <family val="0"/>
    </font>
    <font>
      <b/>
      <sz val="22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6" borderId="0" xfId="0" applyFill="1" applyAlignment="1">
      <alignment/>
    </xf>
    <xf numFmtId="8" fontId="0" fillId="6" borderId="0" xfId="0" applyNumberFormat="1" applyFill="1" applyAlignment="1">
      <alignment/>
    </xf>
    <xf numFmtId="10" fontId="0" fillId="6" borderId="0" xfId="0" applyNumberFormat="1" applyFill="1" applyAlignment="1">
      <alignment/>
    </xf>
    <xf numFmtId="0" fontId="0" fillId="25" borderId="0" xfId="0" applyFill="1" applyAlignment="1">
      <alignment/>
    </xf>
    <xf numFmtId="8" fontId="0" fillId="25" borderId="0" xfId="0" applyNumberFormat="1" applyFill="1" applyAlignment="1">
      <alignment/>
    </xf>
    <xf numFmtId="10" fontId="0" fillId="25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26" borderId="0" xfId="0" applyFill="1" applyAlignment="1">
      <alignment/>
    </xf>
    <xf numFmtId="0" fontId="0" fillId="27" borderId="0" xfId="0" applyFill="1" applyAlignment="1">
      <alignment/>
    </xf>
    <xf numFmtId="0" fontId="0" fillId="8" borderId="0" xfId="0" applyFill="1" applyAlignment="1">
      <alignment/>
    </xf>
    <xf numFmtId="8" fontId="0" fillId="8" borderId="0" xfId="0" applyNumberFormat="1" applyFill="1" applyAlignment="1">
      <alignment/>
    </xf>
    <xf numFmtId="0" fontId="1" fillId="27" borderId="0" xfId="0" applyFont="1" applyFill="1" applyAlignment="1">
      <alignment/>
    </xf>
    <xf numFmtId="0" fontId="0" fillId="28" borderId="0" xfId="0" applyFill="1" applyAlignment="1">
      <alignment/>
    </xf>
    <xf numFmtId="8" fontId="0" fillId="28" borderId="0" xfId="0" applyNumberFormat="1" applyFill="1" applyAlignment="1">
      <alignment/>
    </xf>
    <xf numFmtId="10" fontId="0" fillId="28" borderId="0" xfId="0" applyNumberFormat="1" applyFill="1" applyAlignment="1">
      <alignment/>
    </xf>
    <xf numFmtId="10" fontId="0" fillId="8" borderId="0" xfId="0" applyNumberFormat="1" applyFill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9" borderId="10" xfId="0" applyFill="1" applyBorder="1" applyAlignment="1">
      <alignment/>
    </xf>
    <xf numFmtId="0" fontId="2" fillId="0" borderId="0" xfId="0" applyFont="1" applyFill="1" applyAlignment="1">
      <alignment horizontal="right"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" fontId="0" fillId="6" borderId="0" xfId="0" applyNumberFormat="1" applyFill="1" applyAlignment="1">
      <alignment/>
    </xf>
    <xf numFmtId="176" fontId="0" fillId="0" borderId="0" xfId="0" applyNumberFormat="1" applyAlignment="1">
      <alignment/>
    </xf>
    <xf numFmtId="8" fontId="0" fillId="24" borderId="0" xfId="0" applyNumberFormat="1" applyFill="1" applyAlignment="1">
      <alignment/>
    </xf>
    <xf numFmtId="10" fontId="0" fillId="2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65" fontId="0" fillId="27" borderId="0" xfId="0" applyNumberFormat="1" applyFill="1" applyAlignment="1">
      <alignment/>
    </xf>
    <xf numFmtId="10" fontId="0" fillId="27" borderId="0" xfId="0" applyNumberFormat="1" applyFill="1" applyAlignment="1">
      <alignment/>
    </xf>
    <xf numFmtId="165" fontId="0" fillId="29" borderId="10" xfId="0" applyNumberFormat="1" applyFill="1" applyBorder="1" applyAlignment="1">
      <alignment/>
    </xf>
    <xf numFmtId="0" fontId="4" fillId="0" borderId="0" xfId="0" applyFont="1" applyAlignment="1">
      <alignment/>
    </xf>
    <xf numFmtId="165" fontId="0" fillId="8" borderId="0" xfId="0" applyNumberFormat="1" applyFill="1" applyAlignment="1">
      <alignment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175" fontId="3" fillId="0" borderId="0" xfId="0" applyNumberFormat="1" applyFont="1" applyFill="1" applyAlignment="1">
      <alignment horizontal="right"/>
    </xf>
    <xf numFmtId="10" fontId="3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29" borderId="11" xfId="0" applyFill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165" fontId="0" fillId="22" borderId="0" xfId="0" applyNumberFormat="1" applyFill="1" applyAlignment="1">
      <alignment/>
    </xf>
    <xf numFmtId="10" fontId="0" fillId="22" borderId="0" xfId="0" applyNumberFormat="1" applyFill="1" applyAlignment="1">
      <alignment/>
    </xf>
    <xf numFmtId="17" fontId="0" fillId="0" borderId="0" xfId="0" applyNumberFormat="1" applyAlignment="1">
      <alignment/>
    </xf>
    <xf numFmtId="10" fontId="3" fillId="30" borderId="0" xfId="0" applyNumberFormat="1" applyFont="1" applyFill="1" applyAlignment="1">
      <alignment horizontal="right"/>
    </xf>
    <xf numFmtId="0" fontId="3" fillId="0" borderId="0" xfId="55" applyFont="1" applyFill="1" applyAlignment="1">
      <alignment horizontal="right"/>
      <protection/>
    </xf>
    <xf numFmtId="175" fontId="3" fillId="0" borderId="0" xfId="55" applyNumberFormat="1" applyFont="1" applyFill="1" applyAlignment="1">
      <alignment horizontal="right"/>
      <protection/>
    </xf>
    <xf numFmtId="10" fontId="3" fillId="0" borderId="0" xfId="55" applyNumberFormat="1" applyFont="1" applyFill="1" applyAlignment="1">
      <alignment horizontal="right"/>
      <protection/>
    </xf>
    <xf numFmtId="175" fontId="3" fillId="0" borderId="0" xfId="56" applyNumberFormat="1" applyFont="1" applyFill="1" applyAlignment="1">
      <alignment horizontal="right"/>
      <protection/>
    </xf>
    <xf numFmtId="10" fontId="3" fillId="0" borderId="0" xfId="56" applyNumberFormat="1" applyFont="1" applyFill="1" applyAlignment="1">
      <alignment horizontal="right"/>
      <protection/>
    </xf>
    <xf numFmtId="0" fontId="3" fillId="0" borderId="0" xfId="56" applyFont="1" applyFill="1" applyAlignment="1">
      <alignment horizontal="right"/>
      <protection/>
    </xf>
    <xf numFmtId="183" fontId="3" fillId="0" borderId="0" xfId="0" applyNumberFormat="1" applyFont="1" applyFill="1" applyAlignment="1">
      <alignment horizontal="right"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Convention Tax</a:t>
            </a:r>
          </a:p>
        </c:rich>
      </c:tx>
      <c:layout>
        <c:manualLayout>
          <c:xMode val="factor"/>
          <c:yMode val="factor"/>
          <c:x val="-0.008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1025"/>
          <c:w val="0.80325"/>
          <c:h val="0.6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ConventionTaxTable!$D$3:$F$3</c:f>
              <c:strCache>
                <c:ptCount val="1"/>
                <c:pt idx="0">
                  <c:v>2011 - 2012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ConventionTaxTable!$P$6:$P$17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ConventionTaxTable!$C$6:$C$17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ConventionTaxTable!$U$1:$W$1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ConventionTaxTable!$U$6:$U$17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7474612"/>
        <c:axId val="1727189"/>
      </c:barChart>
      <c:catAx>
        <c:axId val="3747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189"/>
        <c:crosses val="autoZero"/>
        <c:auto val="1"/>
        <c:lblOffset val="100"/>
        <c:noMultiLvlLbl val="0"/>
      </c:catAx>
      <c:valAx>
        <c:axId val="172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42"/>
          <c:y val="0.048"/>
          <c:w val="0.08125"/>
          <c:h val="0.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Tourist Tax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4"/>
          <c:w val="0.836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TouristTaxTable!$D$3:$F$3</c:f>
              <c:strCache>
                <c:ptCount val="1"/>
                <c:pt idx="0">
                  <c:v>2011 - 2012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TouristTaxTable!$N$6:$N$17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TouristTaxTable!$C$6:$C$17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TouristTaxTable!$N$2:$P$2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Feb 11 No Internet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TouristTaxTable!$W$6:$W$17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544702"/>
        <c:axId val="5684591"/>
      </c:barChart>
      <c:catAx>
        <c:axId val="1554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4591"/>
        <c:crosses val="autoZero"/>
        <c:auto val="1"/>
        <c:lblOffset val="100"/>
        <c:noMultiLvlLbl val="0"/>
      </c:catAx>
      <c:valAx>
        <c:axId val="56845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18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4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059"/>
          <c:w val="0.1225"/>
          <c:h val="0.0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Sports Tax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20175"/>
          <c:w val="0.75975"/>
          <c:h val="0.6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SportsTaxTable!$C$3:$E$3</c:f>
              <c:strCache>
                <c:ptCount val="1"/>
                <c:pt idx="0">
                  <c:v>2011 - 2012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SportsTaxTable!$N$6:$N$17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SportsTaxTable!$C$6:$C$17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SportsTaxTable!$M$3:$O$3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#,#0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SportsTaxTable!$S$6:$S$17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Feb 2011 No Internet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\$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$#,##0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SportsTaxTable!$U$6:$U$17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161320"/>
        <c:axId val="57798697"/>
      </c:barChart>
      <c:catAx>
        <c:axId val="51161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98697"/>
        <c:crosses val="autoZero"/>
        <c:auto val="1"/>
        <c:lblOffset val="100"/>
        <c:noMultiLvlLbl val="0"/>
      </c:catAx>
      <c:valAx>
        <c:axId val="57798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61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0475"/>
          <c:y val="0.01025"/>
          <c:w val="0.216"/>
          <c:h val="0.1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Food and Beverage Tax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2"/>
          <c:w val="0.782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FoodandBeverageTaxTable!$D$3:$F$3</c:f>
              <c:strCache>
                <c:ptCount val="1"/>
                <c:pt idx="0">
                  <c:v>2011 - 2012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FoodandBeverageTaxTable!$O$6:$O$17</c:f>
              <c:strCache/>
            </c:strRef>
          </c:cat>
          <c:val>
            <c:numRef>
              <c:f>FoodandBeverageTaxTable!$C$6:$C$17</c:f>
              <c:numCache/>
            </c:numRef>
          </c:val>
        </c:ser>
        <c:ser>
          <c:idx val="1"/>
          <c:order val="1"/>
          <c:tx>
            <c:strRef>
              <c:f>FoodandBeverageTaxTable!$N$2:$P$2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FoodandBeverageTaxTable!$S$6:$S$17</c:f>
              <c:numCache/>
            </c:numRef>
          </c:val>
        </c:ser>
        <c:axId val="50426226"/>
        <c:axId val="51182851"/>
      </c:barChart>
      <c:dateAx>
        <c:axId val="50426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28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182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Collected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2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41"/>
          <c:y val="0.03525"/>
          <c:w val="0.1182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Homeless and Spouse Abuse Tax</a:t>
            </a:r>
          </a:p>
        </c:rich>
      </c:tx>
      <c:layout>
        <c:manualLayout>
          <c:xMode val="factor"/>
          <c:yMode val="factor"/>
          <c:x val="-0.005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15"/>
          <c:w val="0.7915"/>
          <c:h val="0.6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HomelessTaxTable!$E$4:$G$4</c:f>
              <c:strCache>
                <c:ptCount val="1"/>
                <c:pt idx="0">
                  <c:v>2011 - 2012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_);[Red]\(\$#,##0\)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HomelessTaxTable!$R$7:$R$18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HomelessTaxTable!$C$7:$C$18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HomelessTaxTable!$R$1:$T$1</c:f>
              <c:strCache>
                <c:ptCount val="1"/>
                <c:pt idx="0">
                  <c:v>2010 - 2011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\$#,##0;\-0;;@\ " sourceLinked="0"/>
            <c:txPr>
              <a:bodyPr vert="horz" rot="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HomelessTaxTable!$U$7:$U$18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7992476"/>
        <c:axId val="52170237"/>
      </c:barChart>
      <c:catAx>
        <c:axId val="57992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70237"/>
        <c:crosses val="autoZero"/>
        <c:auto val="1"/>
        <c:lblOffset val="100"/>
        <c:noMultiLvlLbl val="0"/>
      </c:catAx>
      <c:valAx>
        <c:axId val="52170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$Collected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_);[Red]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92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375"/>
          <c:y val="0.0315"/>
          <c:w val="0.09575"/>
          <c:h val="0.1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19050</xdr:rowOff>
    </xdr:from>
    <xdr:to>
      <xdr:col>11</xdr:col>
      <xdr:colOff>1085850</xdr:colOff>
      <xdr:row>45</xdr:row>
      <xdr:rowOff>57150</xdr:rowOff>
    </xdr:to>
    <xdr:graphicFrame>
      <xdr:nvGraphicFramePr>
        <xdr:cNvPr id="1" name="Chart 2"/>
        <xdr:cNvGraphicFramePr/>
      </xdr:nvGraphicFramePr>
      <xdr:xfrm>
        <a:off x="47625" y="3095625"/>
        <a:ext cx="1041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28575</xdr:rowOff>
    </xdr:from>
    <xdr:to>
      <xdr:col>9</xdr:col>
      <xdr:colOff>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19050" y="6524625"/>
        <a:ext cx="8715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0</xdr:rowOff>
    </xdr:from>
    <xdr:to>
      <xdr:col>9</xdr:col>
      <xdr:colOff>104775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76200" y="3133725"/>
        <a:ext cx="76676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57150</xdr:rowOff>
    </xdr:from>
    <xdr:to>
      <xdr:col>7</xdr:col>
      <xdr:colOff>504825</xdr:colOff>
      <xdr:row>64</xdr:row>
      <xdr:rowOff>28575</xdr:rowOff>
    </xdr:to>
    <xdr:graphicFrame>
      <xdr:nvGraphicFramePr>
        <xdr:cNvPr id="1" name="Chart 1"/>
        <xdr:cNvGraphicFramePr/>
      </xdr:nvGraphicFramePr>
      <xdr:xfrm>
        <a:off x="0" y="6534150"/>
        <a:ext cx="7096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9525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086100"/>
        <a:ext cx="88487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W68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16.00390625" style="0" customWidth="1"/>
    <col min="5" max="5" width="17.00390625" style="0" customWidth="1"/>
    <col min="8" max="8" width="10.7109375" style="0" customWidth="1"/>
    <col min="9" max="9" width="16.28125" style="0" customWidth="1"/>
    <col min="11" max="11" width="16.8515625" style="0" customWidth="1"/>
    <col min="12" max="12" width="17.421875" style="0" customWidth="1"/>
    <col min="14" max="14" width="14.8515625" style="0" bestFit="1" customWidth="1"/>
    <col min="16" max="16" width="12.00390625" style="0" bestFit="1" customWidth="1"/>
    <col min="20" max="20" width="14.421875" style="0" bestFit="1" customWidth="1"/>
    <col min="21" max="21" width="11.140625" style="0" bestFit="1" customWidth="1"/>
  </cols>
  <sheetData>
    <row r="1" spans="1:23" ht="12.75">
      <c r="A1" s="4"/>
      <c r="B1" s="4"/>
      <c r="C1" s="4" t="s">
        <v>0</v>
      </c>
      <c r="D1" s="4"/>
      <c r="E1" s="4"/>
      <c r="F1" s="4"/>
      <c r="G1" s="4"/>
      <c r="H1" s="4"/>
      <c r="U1">
        <f>+D3-1</f>
        <v>2010</v>
      </c>
      <c r="V1" t="s">
        <v>3</v>
      </c>
      <c r="W1">
        <f>+D3</f>
        <v>2011</v>
      </c>
    </row>
    <row r="2" spans="1:8" ht="12.75">
      <c r="A2" s="4" t="s">
        <v>1</v>
      </c>
      <c r="B2" s="4"/>
      <c r="C2" s="4"/>
      <c r="D2" s="4"/>
      <c r="E2" s="4"/>
      <c r="F2" s="4"/>
      <c r="G2" s="4"/>
      <c r="H2" s="4"/>
    </row>
    <row r="3" spans="1:8" ht="12.75">
      <c r="A3" s="4" t="s">
        <v>2</v>
      </c>
      <c r="B3" s="4"/>
      <c r="C3" s="4"/>
      <c r="D3" s="4">
        <f>+B6</f>
        <v>2011</v>
      </c>
      <c r="E3" s="4" t="s">
        <v>3</v>
      </c>
      <c r="F3" s="4">
        <f>+B6+1</f>
        <v>2012</v>
      </c>
      <c r="G3" s="4"/>
      <c r="H3" s="4"/>
    </row>
    <row r="4" spans="1:7" ht="12.75">
      <c r="A4" t="s">
        <v>4</v>
      </c>
      <c r="C4" t="s">
        <v>5</v>
      </c>
      <c r="D4" t="s">
        <v>6</v>
      </c>
      <c r="E4" t="s">
        <v>66</v>
      </c>
      <c r="F4" t="s">
        <v>8</v>
      </c>
      <c r="G4" t="s">
        <v>9</v>
      </c>
    </row>
    <row r="5" spans="1:8" ht="12.75">
      <c r="A5" t="s">
        <v>14</v>
      </c>
      <c r="B5" t="s">
        <v>15</v>
      </c>
      <c r="E5" t="s">
        <v>65</v>
      </c>
      <c r="G5" t="s">
        <v>14</v>
      </c>
      <c r="H5" t="s">
        <v>15</v>
      </c>
    </row>
    <row r="6" spans="1:21" ht="12.75">
      <c r="A6" s="45">
        <v>10</v>
      </c>
      <c r="B6" s="45">
        <v>2011</v>
      </c>
      <c r="C6" s="47">
        <v>3139912.57</v>
      </c>
      <c r="D6" s="47">
        <v>62798.25</v>
      </c>
      <c r="E6" s="47">
        <v>3077114.32</v>
      </c>
      <c r="F6" s="48" t="s">
        <v>75</v>
      </c>
      <c r="G6" s="45">
        <v>11</v>
      </c>
      <c r="H6" s="45">
        <v>2011</v>
      </c>
      <c r="I6" s="29"/>
      <c r="J6" s="29"/>
      <c r="K6" s="29"/>
      <c r="L6" s="29"/>
      <c r="O6">
        <f>IF(A6&gt;0,1,0)</f>
        <v>1</v>
      </c>
      <c r="P6" s="23">
        <f>IF(O6=1,DATE(B6,A6,1),"")</f>
        <v>40817</v>
      </c>
      <c r="T6" s="24">
        <f aca="true" t="shared" si="0" ref="T6:T17">IF(O6=1,(F6+1),"")</f>
        <v>1.1826</v>
      </c>
      <c r="U6" s="22">
        <f>IF(O6=1,C6/T6,"")</f>
        <v>2655092.651784204</v>
      </c>
    </row>
    <row r="7" spans="1:21" ht="12.75">
      <c r="A7" s="45">
        <v>11</v>
      </c>
      <c r="B7" s="45">
        <v>2011</v>
      </c>
      <c r="C7" s="47">
        <v>4057218.49</v>
      </c>
      <c r="D7" s="47">
        <v>81144.37</v>
      </c>
      <c r="E7" s="47">
        <v>3976074.12</v>
      </c>
      <c r="F7" s="48" t="s">
        <v>79</v>
      </c>
      <c r="G7" s="45">
        <v>12</v>
      </c>
      <c r="H7" s="45">
        <v>2011</v>
      </c>
      <c r="I7" s="29"/>
      <c r="J7" s="29"/>
      <c r="K7" s="29"/>
      <c r="L7" s="29"/>
      <c r="O7">
        <f aca="true" t="shared" si="1" ref="O7:O17">IF(A7&gt;0,1,0)</f>
        <v>1</v>
      </c>
      <c r="P7" s="23">
        <f aca="true" t="shared" si="2" ref="P7:P17">IF(O7=1,DATE(B7,A7,1),"")</f>
        <v>40848</v>
      </c>
      <c r="T7" s="24">
        <f t="shared" si="0"/>
        <v>1.2995</v>
      </c>
      <c r="U7" s="22">
        <f aca="true" t="shared" si="3" ref="U7:U17">IF(O7=1,C7/T7,"")</f>
        <v>3122138.122354752</v>
      </c>
    </row>
    <row r="8" spans="1:21" ht="12.75">
      <c r="A8" s="45">
        <v>12</v>
      </c>
      <c r="B8" s="45">
        <v>2011</v>
      </c>
      <c r="C8" s="47">
        <v>5165822.08</v>
      </c>
      <c r="D8" s="47">
        <v>103316.44</v>
      </c>
      <c r="E8" s="47">
        <v>5062505.64</v>
      </c>
      <c r="F8" s="48" t="s">
        <v>83</v>
      </c>
      <c r="G8" s="45">
        <v>1</v>
      </c>
      <c r="H8" s="45">
        <v>2012</v>
      </c>
      <c r="I8" s="29"/>
      <c r="J8" s="29"/>
      <c r="K8" s="29"/>
      <c r="L8" s="29"/>
      <c r="O8">
        <f>IF(A8&gt;0,1,0)</f>
        <v>1</v>
      </c>
      <c r="P8" s="23">
        <f>IF(O8=1,DATE(B8,A8,1),"")</f>
        <v>40878</v>
      </c>
      <c r="T8" s="24">
        <f>IF(O8=1,(F8+1),"")</f>
        <v>1.3536000000000001</v>
      </c>
      <c r="U8" s="22">
        <f>IF(O8=1,C8/T8,"")</f>
        <v>3816357.919621749</v>
      </c>
    </row>
    <row r="9" spans="1:21" ht="12.75">
      <c r="A9" s="45">
        <v>1</v>
      </c>
      <c r="B9" s="45">
        <v>2012</v>
      </c>
      <c r="C9" s="47">
        <v>5015368.08</v>
      </c>
      <c r="D9" s="47">
        <v>100307.36</v>
      </c>
      <c r="E9" s="47">
        <v>4915060.72</v>
      </c>
      <c r="F9" s="48" t="s">
        <v>87</v>
      </c>
      <c r="G9" s="45">
        <v>2</v>
      </c>
      <c r="H9" s="45">
        <v>2012</v>
      </c>
      <c r="I9" s="29"/>
      <c r="J9" s="29"/>
      <c r="K9" s="29"/>
      <c r="L9" s="29"/>
      <c r="O9">
        <f t="shared" si="1"/>
        <v>1</v>
      </c>
      <c r="P9" s="23">
        <f t="shared" si="2"/>
        <v>40909</v>
      </c>
      <c r="T9" s="24">
        <f t="shared" si="0"/>
        <v>1.0442</v>
      </c>
      <c r="U9" s="22">
        <f t="shared" si="3"/>
        <v>4803072.285002873</v>
      </c>
    </row>
    <row r="10" spans="1:21" ht="12.75">
      <c r="A10" s="45">
        <v>2</v>
      </c>
      <c r="B10" s="45">
        <v>2012</v>
      </c>
      <c r="C10" s="47">
        <v>5736293.89</v>
      </c>
      <c r="D10" s="47">
        <v>114725.88</v>
      </c>
      <c r="E10" s="47">
        <v>5621568.01</v>
      </c>
      <c r="F10" s="48" t="s">
        <v>91</v>
      </c>
      <c r="G10" s="45">
        <v>3</v>
      </c>
      <c r="H10" s="45">
        <v>2012</v>
      </c>
      <c r="I10" s="47"/>
      <c r="J10" s="47"/>
      <c r="K10" s="47"/>
      <c r="L10" s="47"/>
      <c r="O10">
        <f t="shared" si="1"/>
        <v>1</v>
      </c>
      <c r="P10" s="23">
        <f t="shared" si="2"/>
        <v>40940</v>
      </c>
      <c r="T10" s="24">
        <f t="shared" si="0"/>
        <v>1.1989</v>
      </c>
      <c r="U10" s="22">
        <f t="shared" si="3"/>
        <v>4784630.819918258</v>
      </c>
    </row>
    <row r="11" spans="1:21" ht="12.75">
      <c r="A11" s="45">
        <v>3</v>
      </c>
      <c r="B11" s="45">
        <v>2012</v>
      </c>
      <c r="C11" s="47">
        <v>6798364.57</v>
      </c>
      <c r="D11" s="47">
        <v>135967.29</v>
      </c>
      <c r="E11" s="47">
        <v>6662397.28</v>
      </c>
      <c r="F11" s="48" t="s">
        <v>96</v>
      </c>
      <c r="G11" s="45">
        <v>4</v>
      </c>
      <c r="H11" s="45">
        <v>2012</v>
      </c>
      <c r="I11" s="29"/>
      <c r="J11" s="29"/>
      <c r="K11" s="29"/>
      <c r="L11" s="29"/>
      <c r="N11" s="44"/>
      <c r="O11">
        <f t="shared" si="1"/>
        <v>1</v>
      </c>
      <c r="P11" s="23">
        <f t="shared" si="2"/>
        <v>40969</v>
      </c>
      <c r="T11" s="24">
        <f t="shared" si="0"/>
        <v>1.1669</v>
      </c>
      <c r="U11" s="22">
        <f t="shared" si="3"/>
        <v>5826004.4305424625</v>
      </c>
    </row>
    <row r="12" spans="1:21" ht="12.75">
      <c r="A12" s="45">
        <v>4</v>
      </c>
      <c r="B12" s="45">
        <v>2012</v>
      </c>
      <c r="C12" s="47">
        <v>7221171.51</v>
      </c>
      <c r="D12" s="47">
        <v>144423.43</v>
      </c>
      <c r="E12" s="47">
        <v>7076748.08</v>
      </c>
      <c r="F12" s="48" t="s">
        <v>100</v>
      </c>
      <c r="G12" s="45">
        <v>5</v>
      </c>
      <c r="H12" s="45">
        <v>2012</v>
      </c>
      <c r="I12" s="47"/>
      <c r="J12" s="47"/>
      <c r="K12" s="47"/>
      <c r="L12" s="47"/>
      <c r="O12">
        <f t="shared" si="1"/>
        <v>1</v>
      </c>
      <c r="P12" s="23">
        <f t="shared" si="2"/>
        <v>41000</v>
      </c>
      <c r="T12" s="24">
        <f t="shared" si="0"/>
        <v>1.1014</v>
      </c>
      <c r="U12" s="22">
        <f>IF(O12=1,C12/T12,"")</f>
        <v>6556356.918467405</v>
      </c>
    </row>
    <row r="13" spans="1:21" ht="12.75">
      <c r="A13" s="45">
        <v>5</v>
      </c>
      <c r="B13" s="45">
        <v>2012</v>
      </c>
      <c r="C13" s="47">
        <v>5870185.9</v>
      </c>
      <c r="D13" s="47">
        <v>117403.72</v>
      </c>
      <c r="E13" s="47">
        <v>5752782.18</v>
      </c>
      <c r="F13" s="48" t="s">
        <v>104</v>
      </c>
      <c r="G13" s="45">
        <v>6</v>
      </c>
      <c r="H13" s="45">
        <v>2012</v>
      </c>
      <c r="I13" s="47"/>
      <c r="J13" s="47"/>
      <c r="K13" s="47"/>
      <c r="L13" s="47"/>
      <c r="O13">
        <f t="shared" si="1"/>
        <v>1</v>
      </c>
      <c r="P13" s="23">
        <f t="shared" si="2"/>
        <v>41030</v>
      </c>
      <c r="T13" s="24">
        <f t="shared" si="0"/>
        <v>1.0486</v>
      </c>
      <c r="U13" s="22">
        <f t="shared" si="3"/>
        <v>5598117.3946214</v>
      </c>
    </row>
    <row r="14" spans="1:21" ht="12.75">
      <c r="A14" s="45">
        <v>6</v>
      </c>
      <c r="B14" s="45">
        <v>2012</v>
      </c>
      <c r="C14" s="47">
        <v>4599673.47</v>
      </c>
      <c r="D14" s="47">
        <v>91993.47</v>
      </c>
      <c r="E14" s="47">
        <v>4507680</v>
      </c>
      <c r="F14" s="48" t="s">
        <v>108</v>
      </c>
      <c r="G14" s="45">
        <v>7</v>
      </c>
      <c r="H14" s="45">
        <v>2012</v>
      </c>
      <c r="I14" s="29"/>
      <c r="J14" s="29"/>
      <c r="K14" s="29"/>
      <c r="L14" s="29"/>
      <c r="O14">
        <f t="shared" si="1"/>
        <v>1</v>
      </c>
      <c r="P14" s="23">
        <f t="shared" si="2"/>
        <v>41061</v>
      </c>
      <c r="S14" s="2">
        <f>(F6+F7+F8+F9+F10+F11+F12+F13+F14+F15+F16+F17)/O18</f>
        <v>0.13430833333333334</v>
      </c>
      <c r="T14" s="24">
        <f t="shared" si="0"/>
        <v>1.0564</v>
      </c>
      <c r="U14" s="22">
        <f t="shared" si="3"/>
        <v>4354102.110942825</v>
      </c>
    </row>
    <row r="15" spans="1:21" ht="12.75">
      <c r="A15" s="45">
        <v>7</v>
      </c>
      <c r="B15" s="45">
        <v>2012</v>
      </c>
      <c r="C15" s="47">
        <v>3905295.4</v>
      </c>
      <c r="D15" s="47">
        <v>78105.91</v>
      </c>
      <c r="E15" s="47">
        <v>3827189.49</v>
      </c>
      <c r="F15" s="48" t="s">
        <v>112</v>
      </c>
      <c r="G15" s="45">
        <v>8</v>
      </c>
      <c r="H15" s="45">
        <v>2012</v>
      </c>
      <c r="I15" s="47"/>
      <c r="J15" s="47"/>
      <c r="K15" s="47"/>
      <c r="L15" s="47"/>
      <c r="O15">
        <f t="shared" si="1"/>
        <v>1</v>
      </c>
      <c r="P15" s="23">
        <f t="shared" si="2"/>
        <v>41091</v>
      </c>
      <c r="T15" s="24">
        <f t="shared" si="0"/>
        <v>1.1408</v>
      </c>
      <c r="U15" s="22">
        <f t="shared" si="3"/>
        <v>3423295.4067321178</v>
      </c>
    </row>
    <row r="16" spans="1:21" s="46" customFormat="1" ht="12.75">
      <c r="A16" s="67">
        <v>8</v>
      </c>
      <c r="B16" s="67">
        <v>2012</v>
      </c>
      <c r="C16" s="68">
        <v>4133781.38</v>
      </c>
      <c r="D16" s="68">
        <v>82675.63</v>
      </c>
      <c r="E16" s="68">
        <v>4051105.75</v>
      </c>
      <c r="F16" s="69" t="s">
        <v>116</v>
      </c>
      <c r="G16" s="67">
        <v>9</v>
      </c>
      <c r="H16" s="67">
        <v>2012</v>
      </c>
      <c r="I16" s="68"/>
      <c r="J16" s="68"/>
      <c r="K16" s="68"/>
      <c r="L16" s="68"/>
      <c r="O16" s="46">
        <f t="shared" si="1"/>
        <v>1</v>
      </c>
      <c r="P16" s="58">
        <f t="shared" si="2"/>
        <v>41122</v>
      </c>
      <c r="T16" s="59">
        <f t="shared" si="0"/>
        <v>1.0174</v>
      </c>
      <c r="U16" s="60">
        <f t="shared" si="3"/>
        <v>4063083.7232160405</v>
      </c>
    </row>
    <row r="17" spans="1:21" ht="12.75">
      <c r="A17" s="67">
        <v>9</v>
      </c>
      <c r="B17" s="67">
        <v>2012</v>
      </c>
      <c r="C17" s="68">
        <v>3702863.3</v>
      </c>
      <c r="D17" s="68">
        <v>74057.27</v>
      </c>
      <c r="E17" s="68">
        <v>3628806.03</v>
      </c>
      <c r="F17" s="69" t="s">
        <v>120</v>
      </c>
      <c r="G17" s="67">
        <v>10</v>
      </c>
      <c r="H17" s="67">
        <v>2012</v>
      </c>
      <c r="I17" s="68"/>
      <c r="J17" s="68"/>
      <c r="K17" s="68"/>
      <c r="L17" s="68"/>
      <c r="O17">
        <f t="shared" si="1"/>
        <v>1</v>
      </c>
      <c r="P17" s="23">
        <f t="shared" si="2"/>
        <v>41153</v>
      </c>
      <c r="T17" s="24">
        <f t="shared" si="0"/>
        <v>1.0014</v>
      </c>
      <c r="U17" s="22">
        <f t="shared" si="3"/>
        <v>3697686.538845616</v>
      </c>
    </row>
    <row r="18" spans="1:21" ht="12.75">
      <c r="A18" s="5"/>
      <c r="B18" s="5"/>
      <c r="C18" s="6">
        <f>SUM(C6:C17)</f>
        <v>59345950.63999999</v>
      </c>
      <c r="D18" s="6">
        <f>SUM(D6:D17)</f>
        <v>1186919.02</v>
      </c>
      <c r="E18" s="6">
        <f>SUM(E6:E17)</f>
        <v>58159031.62</v>
      </c>
      <c r="F18" s="7">
        <f>(C18/U18)-1</f>
        <v>0.12611043825775403</v>
      </c>
      <c r="G18" s="5"/>
      <c r="H18" s="5"/>
      <c r="I18" s="29"/>
      <c r="J18" s="29"/>
      <c r="K18" s="29"/>
      <c r="L18" s="29"/>
      <c r="O18" s="3">
        <f>SUM(O6:O17)</f>
        <v>12</v>
      </c>
      <c r="T18" s="21"/>
      <c r="U18" s="22">
        <f>SUM(U6:U17)</f>
        <v>52699938.3220497</v>
      </c>
    </row>
    <row r="19" ht="12.75">
      <c r="C19" s="26"/>
    </row>
    <row r="48" ht="12.75">
      <c r="C48" s="44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1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2</v>
      </c>
      <c r="B53" s="4"/>
      <c r="C53" s="4"/>
      <c r="D53" s="4" t="str">
        <f>+B56</f>
        <v>2008-2009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12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10</v>
      </c>
      <c r="J54" t="s">
        <v>11</v>
      </c>
      <c r="K54" t="s">
        <v>12</v>
      </c>
      <c r="L54" t="s">
        <v>13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69</v>
      </c>
      <c r="C56" s="29">
        <f>+C6+C7+C8</f>
        <v>12362953.14</v>
      </c>
      <c r="D56" s="29">
        <f>+D6+D7+D8</f>
        <v>247259.06</v>
      </c>
      <c r="E56" s="29">
        <f>+E6+E7+E8</f>
        <v>12115694.079999998</v>
      </c>
      <c r="F56" s="30">
        <f>(F6+F7+F8)/O56</f>
        <v>0.2785666666666667</v>
      </c>
      <c r="G56" s="28">
        <v>1</v>
      </c>
      <c r="H56" t="str">
        <f>+$B$56</f>
        <v>2008-2009</v>
      </c>
      <c r="I56" s="29">
        <f>+I6+I7+I8</f>
        <v>0</v>
      </c>
      <c r="J56" s="29">
        <f>+J6+J7+J8</f>
        <v>0</v>
      </c>
      <c r="K56" s="29">
        <f>+K6+K7+K8</f>
        <v>0</v>
      </c>
      <c r="L56" s="29">
        <f>+L6+L7+L8</f>
        <v>0</v>
      </c>
      <c r="O56" s="31">
        <f>+O6+O7+O8</f>
        <v>3</v>
      </c>
    </row>
    <row r="57" spans="1:15" ht="12.75">
      <c r="A57" s="28">
        <v>2</v>
      </c>
      <c r="B57" t="str">
        <f>+$B$56</f>
        <v>2008-2009</v>
      </c>
      <c r="C57" s="29">
        <f>+C9+C10+C11</f>
        <v>17550026.54</v>
      </c>
      <c r="D57" s="29">
        <f>+D9+D10+D11</f>
        <v>351000.53</v>
      </c>
      <c r="E57" s="29">
        <f>+E9+E10+E11</f>
        <v>17199026.01</v>
      </c>
      <c r="F57" s="30">
        <f>(F7+F8+F9)/O57</f>
        <v>0.23243333333333335</v>
      </c>
      <c r="G57" s="28">
        <v>2</v>
      </c>
      <c r="H57" t="str">
        <f>+$B$56</f>
        <v>2008-2009</v>
      </c>
      <c r="I57" s="29">
        <f>+I9+I10+I11</f>
        <v>0</v>
      </c>
      <c r="J57" s="29">
        <v>0</v>
      </c>
      <c r="K57" s="29">
        <f>+K9+K10+K11</f>
        <v>0</v>
      </c>
      <c r="L57" s="29">
        <f>+L9+L10+L11</f>
        <v>0</v>
      </c>
      <c r="O57" s="31">
        <f>+O9+O10+O11</f>
        <v>3</v>
      </c>
    </row>
    <row r="58" spans="1:15" ht="12.75">
      <c r="A58" s="28">
        <v>3</v>
      </c>
      <c r="B58" t="str">
        <f>+$B$56</f>
        <v>2008-2009</v>
      </c>
      <c r="C58" s="29">
        <f>+C12+C13+C14</f>
        <v>17691030.88</v>
      </c>
      <c r="D58" s="29">
        <f>+D12+D13+D14</f>
        <v>353820.62</v>
      </c>
      <c r="E58" s="29">
        <f>+E12+E13+E14</f>
        <v>17337210.259999998</v>
      </c>
      <c r="F58" s="30">
        <f>(F8+F9+F10)/O58</f>
        <v>0.1989</v>
      </c>
      <c r="G58" s="28">
        <v>3</v>
      </c>
      <c r="H58" t="str">
        <f>+$B$56</f>
        <v>2008-2009</v>
      </c>
      <c r="I58" s="29">
        <f>+I12+I13+I14</f>
        <v>0</v>
      </c>
      <c r="J58" s="29">
        <f>+J12+J13+J14</f>
        <v>0</v>
      </c>
      <c r="K58" s="29">
        <f>+K12+K13+K14</f>
        <v>0</v>
      </c>
      <c r="L58" s="29">
        <f>+L12+L13+L14</f>
        <v>0</v>
      </c>
      <c r="O58" s="31">
        <f>+O12+O13+O14</f>
        <v>3</v>
      </c>
    </row>
    <row r="59" spans="1:15" ht="12.75">
      <c r="A59" s="28">
        <v>4</v>
      </c>
      <c r="B59" t="str">
        <f>+$B$56</f>
        <v>2008-2009</v>
      </c>
      <c r="C59" s="29">
        <f>+C15+C16+C17</f>
        <v>11741940.079999998</v>
      </c>
      <c r="D59" s="29">
        <f>+D15+D16+D17</f>
        <v>234838.81</v>
      </c>
      <c r="E59" s="29">
        <f>+E15+E16+E17</f>
        <v>11507101.27</v>
      </c>
      <c r="F59" s="30">
        <f>(F9+F10+F11)/O59</f>
        <v>0.13666666666666666</v>
      </c>
      <c r="G59" s="28">
        <v>4</v>
      </c>
      <c r="H59" t="str">
        <f>+$B$56</f>
        <v>2008-2009</v>
      </c>
      <c r="I59" s="29">
        <f>+I15+I16+I17</f>
        <v>0</v>
      </c>
      <c r="J59" s="29">
        <v>0</v>
      </c>
      <c r="K59" s="29">
        <f>+K15+K16+K17</f>
        <v>0</v>
      </c>
      <c r="L59" s="29">
        <f>+L15+L16+L17</f>
        <v>0</v>
      </c>
      <c r="O59" s="31">
        <f>+O15+O16+O17</f>
        <v>3</v>
      </c>
    </row>
    <row r="60" spans="1:12" ht="12.75">
      <c r="A60" s="5"/>
      <c r="B60" s="5"/>
      <c r="C60" s="6">
        <f>SUM(C48:C59)</f>
        <v>59345950.64</v>
      </c>
      <c r="D60" s="6">
        <f>SUM(D48:D59)</f>
        <v>1186919.02</v>
      </c>
      <c r="E60" s="6">
        <f>SUM(E48:E59)</f>
        <v>58159031.61999999</v>
      </c>
      <c r="F60" s="7">
        <f>+F18</f>
        <v>0.12611043825775403</v>
      </c>
      <c r="G60" s="5"/>
      <c r="H60" s="5"/>
      <c r="I60" s="6">
        <f>SUM(I48:I59)</f>
        <v>0</v>
      </c>
      <c r="J60" s="6">
        <f>SUM(J48:J59)</f>
        <v>0</v>
      </c>
      <c r="K60" s="6">
        <f>SUM(K48:K59)</f>
        <v>0</v>
      </c>
      <c r="L60" s="6">
        <f>SUM(L48:L59)</f>
        <v>0</v>
      </c>
    </row>
    <row r="61" spans="3:12" ht="12.75">
      <c r="C61" s="1"/>
      <c r="D61" s="1"/>
      <c r="E61" s="1"/>
      <c r="F61" s="2"/>
      <c r="I61" s="1"/>
      <c r="J61" s="1"/>
      <c r="K61" s="1"/>
      <c r="L61" s="1"/>
    </row>
    <row r="62" spans="3:12" ht="12.75">
      <c r="C62" s="1"/>
      <c r="D62" s="1"/>
      <c r="E62" s="1"/>
      <c r="F62" s="2"/>
      <c r="I62" s="1"/>
      <c r="J62" s="1"/>
      <c r="K62" s="1"/>
      <c r="L62" s="1"/>
    </row>
    <row r="63" spans="3:12" ht="12.75">
      <c r="C63" s="1"/>
      <c r="D63" s="1"/>
      <c r="E63" s="1"/>
      <c r="F63" s="2"/>
      <c r="I63" s="1"/>
      <c r="J63" s="1"/>
      <c r="K63" s="1"/>
      <c r="L63" s="1"/>
    </row>
    <row r="64" spans="3:12" ht="12.75">
      <c r="C64" s="1"/>
      <c r="D64" s="1"/>
      <c r="E64" s="1"/>
      <c r="F64" s="2"/>
      <c r="I64" s="1"/>
      <c r="J64" s="1"/>
      <c r="K64" s="1"/>
      <c r="L64" s="1"/>
    </row>
    <row r="65" spans="3:12" ht="12.75">
      <c r="C65" s="1"/>
      <c r="D65" s="1"/>
      <c r="E65" s="1"/>
      <c r="F65" s="2"/>
      <c r="I65" s="1"/>
      <c r="J65" s="1"/>
      <c r="K65" s="1"/>
      <c r="L65" s="1"/>
    </row>
    <row r="66" spans="3:12" ht="12.75">
      <c r="C66" s="1"/>
      <c r="D66" s="1"/>
      <c r="E66" s="1"/>
      <c r="F66" s="2"/>
      <c r="I66" s="1"/>
      <c r="J66" s="1"/>
      <c r="K66" s="1"/>
      <c r="L66" s="1"/>
    </row>
    <row r="67" spans="3:12" ht="12.75">
      <c r="C67" s="1"/>
      <c r="D67" s="1"/>
      <c r="E67" s="1"/>
      <c r="F67" s="2"/>
      <c r="I67" s="1"/>
      <c r="J67" s="1"/>
      <c r="K67" s="1"/>
      <c r="L67" s="1"/>
    </row>
    <row r="68" spans="1:12" ht="12.75">
      <c r="A68" s="5"/>
      <c r="B68" s="5"/>
      <c r="C68" s="6"/>
      <c r="D68" s="6"/>
      <c r="E68" s="6"/>
      <c r="F68" s="7"/>
      <c r="G68" s="5"/>
      <c r="H68" s="5"/>
      <c r="I68" s="6"/>
      <c r="J68" s="6"/>
      <c r="K68" s="6"/>
      <c r="L68" s="6"/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94"/>
  <sheetViews>
    <sheetView zoomScalePageLayoutView="0" workbookViewId="0" topLeftCell="A1">
      <selection activeCell="J32" sqref="J32"/>
    </sheetView>
  </sheetViews>
  <sheetFormatPr defaultColWidth="9.140625" defaultRowHeight="12.75"/>
  <cols>
    <col min="2" max="2" width="16.7109375" style="0" customWidth="1"/>
    <col min="3" max="3" width="14.140625" style="0" customWidth="1"/>
    <col min="4" max="4" width="14.57421875" style="0" customWidth="1"/>
    <col min="5" max="5" width="15.421875" style="0" customWidth="1"/>
    <col min="6" max="6" width="14.28125" style="0" customWidth="1"/>
    <col min="7" max="7" width="16.57421875" style="0" customWidth="1"/>
    <col min="8" max="8" width="14.8515625" style="0" customWidth="1"/>
    <col min="9" max="9" width="15.28125" style="0" customWidth="1"/>
    <col min="10" max="10" width="23.421875" style="0" customWidth="1"/>
    <col min="11" max="11" width="14.140625" style="0" customWidth="1"/>
    <col min="12" max="12" width="14.28125" style="0" customWidth="1"/>
    <col min="13" max="13" width="17.00390625" style="0" customWidth="1"/>
    <col min="14" max="14" width="13.8515625" style="0" customWidth="1"/>
    <col min="15" max="15" width="13.7109375" style="0" customWidth="1"/>
    <col min="16" max="16" width="11.8515625" style="0" customWidth="1"/>
    <col min="21" max="21" width="11.28125" style="0" customWidth="1"/>
    <col min="22" max="22" width="14.57421875" style="0" customWidth="1"/>
    <col min="23" max="23" width="16.00390625" style="0" customWidth="1"/>
  </cols>
  <sheetData>
    <row r="1" spans="1:9" ht="12.75">
      <c r="A1" s="12"/>
      <c r="B1" s="12"/>
      <c r="C1" s="12" t="s">
        <v>24</v>
      </c>
      <c r="D1" s="12"/>
      <c r="E1" s="12"/>
      <c r="F1" s="12"/>
      <c r="G1" s="12"/>
      <c r="H1" s="12"/>
      <c r="I1" s="12"/>
    </row>
    <row r="2" spans="1:16" ht="12.75">
      <c r="A2" s="12"/>
      <c r="B2" s="12"/>
      <c r="C2" s="12" t="s">
        <v>25</v>
      </c>
      <c r="D2" s="12"/>
      <c r="E2" s="12"/>
      <c r="F2" s="12"/>
      <c r="G2" s="12"/>
      <c r="H2" s="12"/>
      <c r="I2" s="12"/>
      <c r="N2">
        <f>+D3-1</f>
        <v>2010</v>
      </c>
      <c r="O2" t="s">
        <v>3</v>
      </c>
      <c r="P2">
        <f>+D3</f>
        <v>2011</v>
      </c>
    </row>
    <row r="3" spans="1:9" ht="12.75">
      <c r="A3" s="12"/>
      <c r="B3" s="12"/>
      <c r="C3" s="12" t="s">
        <v>26</v>
      </c>
      <c r="D3" s="12">
        <f>+B6</f>
        <v>2011</v>
      </c>
      <c r="E3" s="12" t="s">
        <v>3</v>
      </c>
      <c r="F3" s="12">
        <f>+D3+1</f>
        <v>2012</v>
      </c>
      <c r="G3" s="12"/>
      <c r="H3" s="12"/>
      <c r="I3" s="12"/>
    </row>
    <row r="4" spans="1:11" ht="12.75">
      <c r="A4" s="12"/>
      <c r="B4" s="12" t="s">
        <v>4</v>
      </c>
      <c r="C4" s="12" t="s">
        <v>19</v>
      </c>
      <c r="D4" s="12" t="s">
        <v>27</v>
      </c>
      <c r="E4" s="12" t="s">
        <v>28</v>
      </c>
      <c r="F4" s="12" t="s">
        <v>21</v>
      </c>
      <c r="G4" s="12" t="s">
        <v>22</v>
      </c>
      <c r="H4" s="12"/>
      <c r="I4" s="12" t="s">
        <v>29</v>
      </c>
      <c r="J4" s="65" t="s">
        <v>93</v>
      </c>
      <c r="K4" t="s">
        <v>21</v>
      </c>
    </row>
    <row r="5" spans="1:9" ht="12.75">
      <c r="A5" s="12"/>
      <c r="B5" s="12" t="s">
        <v>14</v>
      </c>
      <c r="C5" s="12"/>
      <c r="D5" s="12"/>
      <c r="E5" s="12"/>
      <c r="F5" s="12"/>
      <c r="G5" s="12" t="s">
        <v>14</v>
      </c>
      <c r="H5" s="12"/>
      <c r="I5" s="12"/>
    </row>
    <row r="6" spans="1:21" ht="12.75">
      <c r="A6" s="45">
        <v>10</v>
      </c>
      <c r="B6" s="45">
        <v>2011</v>
      </c>
      <c r="C6" s="47">
        <v>1081927.74</v>
      </c>
      <c r="D6" s="47">
        <v>32457.83</v>
      </c>
      <c r="E6" s="47">
        <v>1049469.91</v>
      </c>
      <c r="F6" s="48" t="s">
        <v>76</v>
      </c>
      <c r="G6" s="45">
        <v>11</v>
      </c>
      <c r="H6" s="45">
        <v>2011</v>
      </c>
      <c r="I6" s="47">
        <v>1049469.91</v>
      </c>
      <c r="L6" s="11">
        <f>IF(A6&gt;0,1,"")</f>
        <v>1</v>
      </c>
      <c r="M6" s="23">
        <f>DATE(B6,A6,1)</f>
        <v>40817</v>
      </c>
      <c r="N6" s="23">
        <f aca="true" t="shared" si="0" ref="N6:N17">IF(A6&gt;0,M6,"")</f>
        <v>40817</v>
      </c>
      <c r="T6" s="24">
        <f aca="true" t="shared" si="1" ref="T6:T17">IF(L6=1,(F6+1),"")</f>
        <v>1.1279</v>
      </c>
      <c r="U6" s="22">
        <f aca="true" t="shared" si="2" ref="U6:U17">IF(L6=1,C6/T6,"")</f>
        <v>959240.8369536307</v>
      </c>
    </row>
    <row r="7" spans="1:21" ht="12.75">
      <c r="A7" s="45">
        <v>11</v>
      </c>
      <c r="B7" s="45">
        <v>2011</v>
      </c>
      <c r="C7" s="47">
        <v>1345578</v>
      </c>
      <c r="D7" s="47">
        <v>40367.34</v>
      </c>
      <c r="E7" s="47">
        <v>1305210.66</v>
      </c>
      <c r="F7" s="48" t="s">
        <v>80</v>
      </c>
      <c r="G7" s="45">
        <v>12</v>
      </c>
      <c r="H7" s="45">
        <v>2011</v>
      </c>
      <c r="I7" s="47">
        <v>1305210.66</v>
      </c>
      <c r="J7" s="46"/>
      <c r="L7" s="11">
        <f>IF(A7&gt;0,1,0)</f>
        <v>1</v>
      </c>
      <c r="M7" s="23">
        <f aca="true" t="shared" si="3" ref="M7:M17">DATE(B7,A7,1)</f>
        <v>40848</v>
      </c>
      <c r="N7" s="23">
        <f t="shared" si="0"/>
        <v>40848</v>
      </c>
      <c r="T7" s="24">
        <f t="shared" si="1"/>
        <v>1.2191</v>
      </c>
      <c r="U7" s="22">
        <f t="shared" si="2"/>
        <v>1103747.0264949552</v>
      </c>
    </row>
    <row r="8" spans="1:21" ht="12.75">
      <c r="A8" s="45">
        <v>12</v>
      </c>
      <c r="B8" s="45">
        <v>2011</v>
      </c>
      <c r="C8" s="47">
        <v>1920321.18</v>
      </c>
      <c r="D8" s="47">
        <v>57609.64</v>
      </c>
      <c r="E8" s="47">
        <v>1862711.54</v>
      </c>
      <c r="F8" s="48" t="s">
        <v>84</v>
      </c>
      <c r="G8" s="45">
        <v>1</v>
      </c>
      <c r="H8" s="45">
        <v>2012</v>
      </c>
      <c r="I8" s="47">
        <v>1862711.54</v>
      </c>
      <c r="L8" s="11">
        <f>IF(A8&gt;0,1,0)</f>
        <v>1</v>
      </c>
      <c r="M8" s="23">
        <f t="shared" si="3"/>
        <v>40878</v>
      </c>
      <c r="N8" s="23">
        <f t="shared" si="0"/>
        <v>40878</v>
      </c>
      <c r="T8" s="24">
        <f t="shared" si="1"/>
        <v>1.4704</v>
      </c>
      <c r="U8" s="22">
        <f t="shared" si="2"/>
        <v>1305985.5685527748</v>
      </c>
    </row>
    <row r="9" spans="1:21" ht="12.75">
      <c r="A9" s="45">
        <v>1</v>
      </c>
      <c r="B9" s="45">
        <v>2012</v>
      </c>
      <c r="C9" s="47">
        <v>1666240.39</v>
      </c>
      <c r="D9" s="47">
        <v>49987.21</v>
      </c>
      <c r="E9" s="47">
        <v>1616253.18</v>
      </c>
      <c r="F9" s="48" t="s">
        <v>88</v>
      </c>
      <c r="G9" s="45">
        <v>2</v>
      </c>
      <c r="H9" s="45">
        <v>2012</v>
      </c>
      <c r="I9" s="47">
        <v>1616253.18</v>
      </c>
      <c r="L9" s="11">
        <f>IF(A9&gt;0,1,0)</f>
        <v>1</v>
      </c>
      <c r="M9" s="23">
        <f t="shared" si="3"/>
        <v>40909</v>
      </c>
      <c r="N9" s="23">
        <f t="shared" si="0"/>
        <v>40909</v>
      </c>
      <c r="T9" s="24">
        <f t="shared" si="1"/>
        <v>0.9648</v>
      </c>
      <c r="U9" s="22">
        <f t="shared" si="2"/>
        <v>1727031.913349917</v>
      </c>
    </row>
    <row r="10" spans="1:24" ht="12.75">
      <c r="A10" s="45">
        <v>2</v>
      </c>
      <c r="B10" s="45">
        <v>2012</v>
      </c>
      <c r="C10" s="47">
        <v>1811832.07</v>
      </c>
      <c r="D10" s="47">
        <v>54354.96</v>
      </c>
      <c r="E10" s="47">
        <v>1757477.11</v>
      </c>
      <c r="F10" s="66" t="s">
        <v>92</v>
      </c>
      <c r="G10" s="45">
        <v>3</v>
      </c>
      <c r="H10" s="45">
        <v>2012</v>
      </c>
      <c r="I10" s="47">
        <v>1757477.11</v>
      </c>
      <c r="J10" s="63">
        <v>1560940.8993755667</v>
      </c>
      <c r="K10" s="64">
        <f>+X10</f>
        <v>0.16073073024404638</v>
      </c>
      <c r="L10" s="11">
        <f aca="true" t="shared" si="4" ref="L10:L16">IF(A10&gt;0,1,0)</f>
        <v>1</v>
      </c>
      <c r="M10" s="23">
        <f t="shared" si="3"/>
        <v>40940</v>
      </c>
      <c r="N10" s="23">
        <f t="shared" si="0"/>
        <v>40940</v>
      </c>
      <c r="T10" s="24">
        <f t="shared" si="1"/>
        <v>0.7719</v>
      </c>
      <c r="U10" s="22">
        <f t="shared" si="2"/>
        <v>2347236.7793755666</v>
      </c>
      <c r="V10" s="63">
        <f>1179443.82*(2/3)</f>
        <v>786295.88</v>
      </c>
      <c r="W10" s="26">
        <f>+U10-V10</f>
        <v>1560940.8993755667</v>
      </c>
      <c r="X10" s="2">
        <f>+(C10/W10)-1</f>
        <v>0.16073073024404638</v>
      </c>
    </row>
    <row r="11" spans="1:21" s="46" customFormat="1" ht="14.25" customHeight="1">
      <c r="A11" s="45">
        <v>3</v>
      </c>
      <c r="B11" s="45">
        <v>2012</v>
      </c>
      <c r="C11" s="47">
        <v>2403024.79</v>
      </c>
      <c r="D11" s="47">
        <v>72090.74</v>
      </c>
      <c r="E11" s="47">
        <v>2330934.05</v>
      </c>
      <c r="F11" s="48" t="s">
        <v>97</v>
      </c>
      <c r="G11" s="45">
        <v>4</v>
      </c>
      <c r="H11" s="45">
        <v>2012</v>
      </c>
      <c r="I11" s="47">
        <v>2330934.05</v>
      </c>
      <c r="L11" s="11">
        <f>IF(A11&gt;0,1,0)</f>
        <v>1</v>
      </c>
      <c r="M11" s="23">
        <f>DATE(B11,A11,1)</f>
        <v>40969</v>
      </c>
      <c r="N11" s="23">
        <f>IF(A11&gt;0,M11,"")</f>
        <v>40969</v>
      </c>
      <c r="O11"/>
      <c r="P11"/>
      <c r="Q11"/>
      <c r="R11"/>
      <c r="S11"/>
      <c r="T11" s="24">
        <f>IF(L11=1,(F11+1),"")</f>
        <v>1.119</v>
      </c>
      <c r="U11" s="22">
        <f>IF(L11=1,C11/T11,"")</f>
        <v>2147475.236818588</v>
      </c>
    </row>
    <row r="12" spans="1:21" ht="12.75">
      <c r="A12" s="45">
        <v>4</v>
      </c>
      <c r="B12" s="45">
        <v>2012</v>
      </c>
      <c r="C12" s="47">
        <v>2439108.51</v>
      </c>
      <c r="D12" s="47">
        <v>73173.26</v>
      </c>
      <c r="E12" s="47">
        <v>2365935.25</v>
      </c>
      <c r="F12" s="48" t="s">
        <v>101</v>
      </c>
      <c r="G12" s="45">
        <v>5</v>
      </c>
      <c r="H12" s="45">
        <v>2012</v>
      </c>
      <c r="I12" s="47">
        <v>2365935.25</v>
      </c>
      <c r="L12" s="11">
        <f t="shared" si="4"/>
        <v>1</v>
      </c>
      <c r="M12" s="23">
        <f t="shared" si="3"/>
        <v>41000</v>
      </c>
      <c r="N12" s="23">
        <f t="shared" si="0"/>
        <v>41000</v>
      </c>
      <c r="T12" s="24">
        <f t="shared" si="1"/>
        <v>1.099</v>
      </c>
      <c r="U12" s="22">
        <f t="shared" si="2"/>
        <v>2219388.9990900815</v>
      </c>
    </row>
    <row r="13" spans="1:21" ht="12.75">
      <c r="A13" s="45">
        <v>5</v>
      </c>
      <c r="B13" s="45">
        <v>2012</v>
      </c>
      <c r="C13" s="47">
        <v>1915481.91</v>
      </c>
      <c r="D13" s="47">
        <v>57464.46</v>
      </c>
      <c r="E13" s="47">
        <v>1858017.45</v>
      </c>
      <c r="F13" s="48" t="s">
        <v>105</v>
      </c>
      <c r="G13" s="45">
        <v>6</v>
      </c>
      <c r="H13" s="45">
        <v>2012</v>
      </c>
      <c r="I13" s="47">
        <v>1858017.45</v>
      </c>
      <c r="L13" s="11">
        <f t="shared" si="4"/>
        <v>1</v>
      </c>
      <c r="M13" s="23">
        <f t="shared" si="3"/>
        <v>41030</v>
      </c>
      <c r="N13" s="23">
        <f t="shared" si="0"/>
        <v>41030</v>
      </c>
      <c r="T13" s="24">
        <f t="shared" si="1"/>
        <v>1.1054</v>
      </c>
      <c r="U13" s="22">
        <f t="shared" si="2"/>
        <v>1732840.5192690429</v>
      </c>
    </row>
    <row r="14" spans="1:21" ht="12.75">
      <c r="A14" s="45">
        <v>6</v>
      </c>
      <c r="B14" s="45">
        <v>2012</v>
      </c>
      <c r="C14" s="47">
        <v>1557684.66</v>
      </c>
      <c r="D14" s="47">
        <v>46730.54</v>
      </c>
      <c r="E14" s="47">
        <v>1510954.12</v>
      </c>
      <c r="F14" s="48" t="s">
        <v>109</v>
      </c>
      <c r="G14" s="45">
        <v>7</v>
      </c>
      <c r="H14" s="45">
        <v>2012</v>
      </c>
      <c r="I14" s="47">
        <v>1510954.12</v>
      </c>
      <c r="L14" s="11">
        <f t="shared" si="4"/>
        <v>1</v>
      </c>
      <c r="M14" s="23">
        <f t="shared" si="3"/>
        <v>41061</v>
      </c>
      <c r="N14" s="23">
        <f t="shared" si="0"/>
        <v>41061</v>
      </c>
      <c r="T14" s="24">
        <f t="shared" si="1"/>
        <v>1.1118999999999999</v>
      </c>
      <c r="U14" s="22">
        <f t="shared" si="2"/>
        <v>1400921.5397068083</v>
      </c>
    </row>
    <row r="15" spans="1:21" ht="12.75">
      <c r="A15" s="45">
        <v>7</v>
      </c>
      <c r="B15" s="45">
        <v>2012</v>
      </c>
      <c r="C15" s="47">
        <v>1297745.66</v>
      </c>
      <c r="D15" s="47">
        <v>38932.37</v>
      </c>
      <c r="E15" s="47">
        <v>1258813.29</v>
      </c>
      <c r="F15" s="48" t="s">
        <v>113</v>
      </c>
      <c r="G15" s="45">
        <v>8</v>
      </c>
      <c r="H15" s="45">
        <v>2012</v>
      </c>
      <c r="I15" s="47">
        <v>1258813.29</v>
      </c>
      <c r="L15" s="11">
        <f t="shared" si="4"/>
        <v>1</v>
      </c>
      <c r="M15" s="23">
        <f t="shared" si="3"/>
        <v>41091</v>
      </c>
      <c r="N15" s="23">
        <f t="shared" si="0"/>
        <v>41091</v>
      </c>
      <c r="T15" s="24">
        <f t="shared" si="1"/>
        <v>1.1089</v>
      </c>
      <c r="U15" s="22">
        <f t="shared" si="2"/>
        <v>1170299.9909820543</v>
      </c>
    </row>
    <row r="16" spans="1:21" ht="12.75">
      <c r="A16" s="72">
        <v>8</v>
      </c>
      <c r="B16" s="72">
        <v>2012</v>
      </c>
      <c r="C16" s="70">
        <v>1352615.67</v>
      </c>
      <c r="D16" s="70">
        <v>40578.47</v>
      </c>
      <c r="E16" s="70">
        <v>1312037.2</v>
      </c>
      <c r="F16" s="71" t="s">
        <v>117</v>
      </c>
      <c r="G16" s="72">
        <v>9</v>
      </c>
      <c r="H16" s="72">
        <v>2012</v>
      </c>
      <c r="I16" s="70">
        <v>1312037.2</v>
      </c>
      <c r="J16" s="46"/>
      <c r="L16" s="11">
        <f t="shared" si="4"/>
        <v>1</v>
      </c>
      <c r="M16" s="23">
        <f t="shared" si="3"/>
        <v>41122</v>
      </c>
      <c r="N16" s="23">
        <f t="shared" si="0"/>
        <v>41122</v>
      </c>
      <c r="T16" s="24">
        <f t="shared" si="1"/>
        <v>1.0681</v>
      </c>
      <c r="U16" s="22">
        <f t="shared" si="2"/>
        <v>1266375.4985488248</v>
      </c>
    </row>
    <row r="17" spans="1:21" ht="12.75">
      <c r="A17" s="61">
        <v>9</v>
      </c>
      <c r="B17" s="62">
        <v>2012</v>
      </c>
      <c r="C17" s="47">
        <v>1201634.19</v>
      </c>
      <c r="D17" s="47">
        <v>36049.03</v>
      </c>
      <c r="E17" s="47">
        <v>1165585.17</v>
      </c>
      <c r="F17" s="48">
        <v>0.0062</v>
      </c>
      <c r="G17" s="45">
        <v>10</v>
      </c>
      <c r="H17" s="45">
        <v>2012</v>
      </c>
      <c r="I17" s="47">
        <v>1165585.17</v>
      </c>
      <c r="L17" s="11">
        <v>1</v>
      </c>
      <c r="M17" s="23">
        <f t="shared" si="3"/>
        <v>41153</v>
      </c>
      <c r="N17" s="23">
        <f t="shared" si="0"/>
        <v>41153</v>
      </c>
      <c r="T17" s="24">
        <f t="shared" si="1"/>
        <v>1.0062</v>
      </c>
      <c r="U17" s="22">
        <f t="shared" si="2"/>
        <v>1194229.9642218247</v>
      </c>
    </row>
    <row r="18" spans="1:22" ht="12.75">
      <c r="A18" s="8"/>
      <c r="B18" s="8"/>
      <c r="C18" s="9">
        <f>SUM(C6:C17)</f>
        <v>19993194.77</v>
      </c>
      <c r="D18" s="9">
        <f>SUM(D6:D17)</f>
        <v>599795.85</v>
      </c>
      <c r="E18" s="9">
        <f>SUM(E6:E17)</f>
        <v>19393398.93</v>
      </c>
      <c r="F18" s="10">
        <f>(C18/U18)-1</f>
        <v>0.07636275447045549</v>
      </c>
      <c r="G18" s="8"/>
      <c r="H18" s="8"/>
      <c r="I18" s="9">
        <f>SUM(I6:I17)</f>
        <v>19393398.93</v>
      </c>
      <c r="J18" s="63">
        <f>+V18</f>
        <v>17788477.99336407</v>
      </c>
      <c r="K18" s="64">
        <f>+(C18/J18)-1</f>
        <v>0.12394072036170778</v>
      </c>
      <c r="L18" s="11">
        <f>SUM(L6:L17)</f>
        <v>12</v>
      </c>
      <c r="Q18" s="2">
        <f>(F6+F7+F8+F9+F10+F11+F12+F13+F14+F15+F16+F17)/L18</f>
        <v>0.09771666666666667</v>
      </c>
      <c r="U18" s="22">
        <f>SUM(U6:U17)</f>
        <v>18574773.87336407</v>
      </c>
      <c r="V18" s="26">
        <f>+U18-V10</f>
        <v>17788477.99336407</v>
      </c>
    </row>
    <row r="22" spans="1:10" ht="12.75">
      <c r="A22" s="13"/>
      <c r="B22" s="13"/>
      <c r="C22" s="13" t="s">
        <v>30</v>
      </c>
      <c r="D22" s="13"/>
      <c r="E22" s="13"/>
      <c r="F22" s="13"/>
      <c r="G22" s="13"/>
      <c r="H22" s="13"/>
      <c r="I22" s="13"/>
      <c r="J22" s="13"/>
    </row>
    <row r="23" spans="1:10" ht="12.75">
      <c r="A23" s="13"/>
      <c r="B23" s="13"/>
      <c r="C23" s="13" t="s">
        <v>31</v>
      </c>
      <c r="D23" s="13"/>
      <c r="E23" s="13"/>
      <c r="F23" s="13"/>
      <c r="G23" s="13"/>
      <c r="H23" s="13"/>
      <c r="I23" s="13"/>
      <c r="J23" s="13"/>
    </row>
    <row r="24" spans="1:13" ht="12.75">
      <c r="A24" s="13"/>
      <c r="B24" s="13"/>
      <c r="C24" s="13" t="s">
        <v>32</v>
      </c>
      <c r="D24" s="13">
        <f>+B27</f>
        <v>2011</v>
      </c>
      <c r="E24" s="13" t="s">
        <v>3</v>
      </c>
      <c r="F24" s="13">
        <f>+B27+1</f>
        <v>2012</v>
      </c>
      <c r="G24" s="13"/>
      <c r="H24" s="13"/>
      <c r="I24" s="13"/>
      <c r="J24" s="13"/>
      <c r="M24">
        <f>70833.33*12</f>
        <v>849999.96</v>
      </c>
    </row>
    <row r="25" spans="1:10" ht="12.75">
      <c r="A25" s="13"/>
      <c r="B25" s="13" t="s">
        <v>33</v>
      </c>
      <c r="C25" s="13" t="s">
        <v>34</v>
      </c>
      <c r="D25" s="13" t="s">
        <v>35</v>
      </c>
      <c r="E25" s="13" t="s">
        <v>71</v>
      </c>
      <c r="F25" s="13" t="s">
        <v>36</v>
      </c>
      <c r="G25" s="13" t="s">
        <v>67</v>
      </c>
      <c r="H25" s="13" t="s">
        <v>68</v>
      </c>
      <c r="I25" s="13" t="s">
        <v>39</v>
      </c>
      <c r="J25" s="13"/>
    </row>
    <row r="26" spans="1:6" ht="12.75">
      <c r="A26" t="s">
        <v>14</v>
      </c>
      <c r="B26" t="s">
        <v>15</v>
      </c>
      <c r="F26" s="56"/>
    </row>
    <row r="27" spans="1:10" ht="12.75">
      <c r="A27" s="45">
        <v>11</v>
      </c>
      <c r="B27" s="45">
        <v>2011</v>
      </c>
      <c r="C27" s="47">
        <v>24662.54</v>
      </c>
      <c r="D27" s="47">
        <v>1024807.36</v>
      </c>
      <c r="E27" s="47">
        <v>83333.34</v>
      </c>
      <c r="F27" s="47">
        <v>531551.08</v>
      </c>
      <c r="G27" s="47">
        <v>204961.47</v>
      </c>
      <c r="H27" s="47">
        <v>204961.47</v>
      </c>
      <c r="I27" s="47">
        <v>1049469.91</v>
      </c>
      <c r="J27" s="73"/>
    </row>
    <row r="28" spans="1:10" ht="12.75">
      <c r="A28" s="45">
        <v>12</v>
      </c>
      <c r="B28" s="45">
        <v>2011</v>
      </c>
      <c r="C28" s="47">
        <v>30672.45</v>
      </c>
      <c r="D28" s="47">
        <v>1274538.21</v>
      </c>
      <c r="E28" s="47">
        <v>83333.34</v>
      </c>
      <c r="F28" s="47">
        <v>681389.59</v>
      </c>
      <c r="G28" s="47">
        <v>254907.64</v>
      </c>
      <c r="H28" s="47">
        <v>254907.64</v>
      </c>
      <c r="I28" s="47">
        <v>1305210.66</v>
      </c>
      <c r="J28" s="47"/>
    </row>
    <row r="29" spans="1:10" ht="12.75">
      <c r="A29" s="45">
        <v>1</v>
      </c>
      <c r="B29" s="45">
        <v>2012</v>
      </c>
      <c r="C29" s="29">
        <v>43773.72</v>
      </c>
      <c r="D29" s="29">
        <v>1818937.82</v>
      </c>
      <c r="E29" s="29">
        <v>83333.34</v>
      </c>
      <c r="F29" s="29">
        <v>1008029.35</v>
      </c>
      <c r="G29" s="29">
        <v>363787.56</v>
      </c>
      <c r="H29" s="29">
        <v>363787.56</v>
      </c>
      <c r="I29" s="29">
        <v>1862711.54</v>
      </c>
      <c r="J29" s="47"/>
    </row>
    <row r="30" spans="1:10" ht="12.75">
      <c r="A30" s="45">
        <v>2</v>
      </c>
      <c r="B30" s="45">
        <v>2012</v>
      </c>
      <c r="C30" s="47">
        <v>37981.95</v>
      </c>
      <c r="D30" s="47">
        <v>1578271.23</v>
      </c>
      <c r="E30" s="47">
        <v>83333.34</v>
      </c>
      <c r="F30" s="47">
        <v>863629.4</v>
      </c>
      <c r="G30" s="47">
        <v>315654.25</v>
      </c>
      <c r="H30" s="47">
        <v>315654.25</v>
      </c>
      <c r="I30" s="47">
        <v>1616253.18</v>
      </c>
      <c r="J30" s="47"/>
    </row>
    <row r="31" spans="1:10" ht="12.75">
      <c r="A31" s="45">
        <v>3</v>
      </c>
      <c r="B31" s="45">
        <v>2012</v>
      </c>
      <c r="C31" s="47">
        <v>41300.71</v>
      </c>
      <c r="D31" s="47">
        <v>1716176.4</v>
      </c>
      <c r="E31" s="47">
        <v>83333.34</v>
      </c>
      <c r="F31" s="47">
        <v>946372.5</v>
      </c>
      <c r="G31" s="47">
        <v>343235.28</v>
      </c>
      <c r="H31" s="47">
        <v>343235.28</v>
      </c>
      <c r="I31" s="47">
        <v>1757477.11</v>
      </c>
      <c r="J31" s="47"/>
    </row>
    <row r="32" spans="1:10" ht="12.75">
      <c r="A32" s="45">
        <v>4</v>
      </c>
      <c r="B32" s="45">
        <v>2012</v>
      </c>
      <c r="C32" s="47">
        <v>54776.95</v>
      </c>
      <c r="D32" s="47">
        <v>2276157.1</v>
      </c>
      <c r="E32" s="47">
        <v>83333.34</v>
      </c>
      <c r="F32" s="47">
        <v>1282360.92</v>
      </c>
      <c r="G32" s="47">
        <v>455231.42</v>
      </c>
      <c r="H32" s="47">
        <v>455231.42</v>
      </c>
      <c r="I32" s="47">
        <v>2330934.05</v>
      </c>
      <c r="J32" s="47"/>
    </row>
    <row r="33" spans="1:10" ht="12.75">
      <c r="A33" s="45">
        <v>5</v>
      </c>
      <c r="B33" s="45">
        <v>2012</v>
      </c>
      <c r="C33" s="47">
        <v>55599.48</v>
      </c>
      <c r="D33" s="47">
        <v>2310335.77</v>
      </c>
      <c r="E33" s="47">
        <v>83333.34</v>
      </c>
      <c r="F33" s="47">
        <v>1302868.12</v>
      </c>
      <c r="G33" s="47">
        <v>462067.15</v>
      </c>
      <c r="H33" s="47">
        <v>462067.15</v>
      </c>
      <c r="I33" s="47">
        <v>2365935.25</v>
      </c>
      <c r="J33" s="47"/>
    </row>
    <row r="34" spans="1:10" ht="12.75">
      <c r="A34" s="45">
        <v>6</v>
      </c>
      <c r="B34" s="45">
        <v>2012</v>
      </c>
      <c r="C34" s="47">
        <v>43663.41</v>
      </c>
      <c r="D34" s="47">
        <v>1814354.04</v>
      </c>
      <c r="E34" s="47">
        <v>83333.34</v>
      </c>
      <c r="F34" s="47">
        <v>1005279.08</v>
      </c>
      <c r="G34" s="47">
        <v>362870.81</v>
      </c>
      <c r="H34" s="47">
        <v>362870.81</v>
      </c>
      <c r="I34" s="47">
        <v>1858017.45</v>
      </c>
      <c r="J34" s="47"/>
    </row>
    <row r="35" spans="1:10" ht="12.75">
      <c r="A35" s="45">
        <v>7</v>
      </c>
      <c r="B35" s="45">
        <v>2012</v>
      </c>
      <c r="C35" s="47">
        <v>35507.42</v>
      </c>
      <c r="D35" s="47">
        <v>1475446.7</v>
      </c>
      <c r="E35" s="47">
        <v>83333.34</v>
      </c>
      <c r="F35" s="47">
        <v>801934.68</v>
      </c>
      <c r="G35" s="47">
        <v>295089.34</v>
      </c>
      <c r="H35" s="47">
        <v>295089.34</v>
      </c>
      <c r="I35" s="47">
        <v>1510954.12</v>
      </c>
      <c r="J35" s="47"/>
    </row>
    <row r="36" spans="1:10" ht="12.75">
      <c r="A36" s="45">
        <v>8</v>
      </c>
      <c r="B36" s="45">
        <v>2012</v>
      </c>
      <c r="C36" s="47">
        <v>29582.11</v>
      </c>
      <c r="D36" s="47">
        <v>1229231.18</v>
      </c>
      <c r="E36" s="47">
        <v>83333.34</v>
      </c>
      <c r="F36" s="47">
        <v>654205.37</v>
      </c>
      <c r="G36" s="47">
        <v>245846.24</v>
      </c>
      <c r="H36" s="47">
        <v>245846.24</v>
      </c>
      <c r="I36" s="47">
        <v>1258813.29</v>
      </c>
      <c r="J36" s="47"/>
    </row>
    <row r="37" spans="1:12" ht="12.75">
      <c r="A37" s="72">
        <v>9</v>
      </c>
      <c r="B37" s="72">
        <v>2012</v>
      </c>
      <c r="C37" s="70">
        <v>30832.87</v>
      </c>
      <c r="D37" s="70">
        <v>1281204.32</v>
      </c>
      <c r="E37" s="70">
        <f>83333.34-0.08</f>
        <v>83333.26</v>
      </c>
      <c r="F37" s="70">
        <f>685389.25-0.04</f>
        <v>685389.21</v>
      </c>
      <c r="G37" s="70">
        <f>256240.86-0.02</f>
        <v>256240.84</v>
      </c>
      <c r="H37" s="70">
        <v>256240.84</v>
      </c>
      <c r="I37" s="70">
        <v>1312037.2</v>
      </c>
      <c r="J37" s="29"/>
      <c r="K37" s="56"/>
      <c r="L37" s="26"/>
    </row>
    <row r="38" spans="1:13" ht="12.75">
      <c r="A38" s="45">
        <v>10</v>
      </c>
      <c r="B38" s="45">
        <v>2012</v>
      </c>
      <c r="C38" s="47">
        <f>+I17*0.0235</f>
        <v>27391.251494999997</v>
      </c>
      <c r="D38" s="47">
        <f>+I17-C38</f>
        <v>1138193.918505</v>
      </c>
      <c r="E38" s="47">
        <v>83333.34</v>
      </c>
      <c r="F38" s="47">
        <v>599583.0148039998</v>
      </c>
      <c r="G38" s="47">
        <f>+D38*0.2</f>
        <v>227638.783701</v>
      </c>
      <c r="H38" s="47">
        <v>227638.78</v>
      </c>
      <c r="I38" s="47">
        <v>1165585.17</v>
      </c>
      <c r="J38" s="47"/>
      <c r="L38" s="44"/>
      <c r="M38" s="56"/>
    </row>
    <row r="39" spans="1:11" ht="12.75">
      <c r="A39" s="14"/>
      <c r="B39" s="14"/>
      <c r="C39" s="15">
        <f aca="true" t="shared" si="5" ref="C39:I39">SUM(C27:C38)</f>
        <v>455744.8614949999</v>
      </c>
      <c r="D39" s="15">
        <f t="shared" si="5"/>
        <v>18937654.048505</v>
      </c>
      <c r="E39" s="15">
        <f t="shared" si="5"/>
        <v>999999.9999999998</v>
      </c>
      <c r="F39" s="15">
        <f t="shared" si="5"/>
        <v>10362592.314804</v>
      </c>
      <c r="G39" s="15">
        <f t="shared" si="5"/>
        <v>3787530.783701</v>
      </c>
      <c r="H39" s="15">
        <f t="shared" si="5"/>
        <v>3787530.78</v>
      </c>
      <c r="I39" s="15">
        <f t="shared" si="5"/>
        <v>19393398.93</v>
      </c>
      <c r="J39" s="15"/>
      <c r="K39" s="1"/>
    </row>
    <row r="43" spans="10:15" ht="12.75">
      <c r="J43" s="56"/>
      <c r="K43" s="47"/>
      <c r="L43" s="47"/>
      <c r="M43" s="56"/>
      <c r="N43" s="56"/>
      <c r="O43" s="56"/>
    </row>
    <row r="44" spans="10:15" ht="12.75">
      <c r="J44" s="56"/>
      <c r="K44" s="47"/>
      <c r="L44" s="47"/>
      <c r="M44" s="56"/>
      <c r="N44" s="56"/>
      <c r="O44" s="56"/>
    </row>
    <row r="45" spans="11:13" ht="12.75">
      <c r="K45" s="47"/>
      <c r="L45" s="47"/>
      <c r="M45" s="56"/>
    </row>
    <row r="46" spans="11:15" ht="12.75">
      <c r="K46" s="47"/>
      <c r="L46" s="47"/>
      <c r="M46" s="56"/>
      <c r="O46" s="56"/>
    </row>
    <row r="47" spans="11:13" ht="12.75">
      <c r="K47" s="47"/>
      <c r="L47" s="47"/>
      <c r="M47" s="56"/>
    </row>
    <row r="48" spans="11:13" ht="12.75">
      <c r="K48" s="47"/>
      <c r="L48" s="47"/>
      <c r="M48" s="56"/>
    </row>
    <row r="49" spans="11:13" ht="12.75">
      <c r="K49" s="47"/>
      <c r="L49" s="47"/>
      <c r="M49" s="56"/>
    </row>
    <row r="50" spans="11:13" ht="12.75">
      <c r="K50" s="47"/>
      <c r="L50" s="47"/>
      <c r="M50" s="56"/>
    </row>
    <row r="51" spans="11:13" ht="12.75">
      <c r="K51" s="47"/>
      <c r="L51" s="47"/>
      <c r="M51" s="56"/>
    </row>
    <row r="52" spans="11:13" ht="12.75">
      <c r="K52" s="47"/>
      <c r="L52" s="47"/>
      <c r="M52" s="56"/>
    </row>
    <row r="53" spans="11:13" ht="12.75">
      <c r="K53" s="47"/>
      <c r="L53" s="47"/>
      <c r="M53" s="56"/>
    </row>
    <row r="54" spans="11:13" ht="12.75">
      <c r="K54" s="47"/>
      <c r="L54" s="47"/>
      <c r="M54" s="56"/>
    </row>
    <row r="71" spans="1:9" ht="12.75">
      <c r="A71" s="12"/>
      <c r="B71" s="12"/>
      <c r="C71" s="12" t="s">
        <v>24</v>
      </c>
      <c r="D71" s="12"/>
      <c r="E71" s="12"/>
      <c r="F71" s="12"/>
      <c r="G71" s="12"/>
      <c r="H71" s="12"/>
      <c r="I71" s="12"/>
    </row>
    <row r="72" spans="1:9" ht="12.75">
      <c r="A72" s="12"/>
      <c r="B72" s="12"/>
      <c r="C72" s="12" t="s">
        <v>25</v>
      </c>
      <c r="D72" s="12"/>
      <c r="E72" s="12"/>
      <c r="F72" s="12"/>
      <c r="G72" s="12"/>
      <c r="H72" s="12"/>
      <c r="I72" s="12"/>
    </row>
    <row r="73" spans="1:9" ht="12.75">
      <c r="A73" s="12"/>
      <c r="B73" s="12"/>
      <c r="C73" s="12" t="s">
        <v>26</v>
      </c>
      <c r="D73" s="12">
        <f>+B6</f>
        <v>2011</v>
      </c>
      <c r="E73" s="12" t="s">
        <v>3</v>
      </c>
      <c r="F73" s="12">
        <f>+D73+1</f>
        <v>2012</v>
      </c>
      <c r="G73" s="12"/>
      <c r="H73" s="12"/>
      <c r="I73" s="12"/>
    </row>
    <row r="74" spans="1:9" ht="12.75">
      <c r="A74" s="12"/>
      <c r="B74" s="12" t="s">
        <v>4</v>
      </c>
      <c r="C74" s="12" t="s">
        <v>19</v>
      </c>
      <c r="D74" s="12" t="s">
        <v>27</v>
      </c>
      <c r="E74" s="12" t="s">
        <v>28</v>
      </c>
      <c r="F74" s="12" t="s">
        <v>21</v>
      </c>
      <c r="G74" s="12" t="s">
        <v>22</v>
      </c>
      <c r="H74" s="12"/>
      <c r="I74" s="12" t="s">
        <v>29</v>
      </c>
    </row>
    <row r="75" spans="1:9" ht="12.75">
      <c r="A75" s="12" t="s">
        <v>56</v>
      </c>
      <c r="B75" s="12" t="s">
        <v>15</v>
      </c>
      <c r="C75" s="12"/>
      <c r="D75" s="12"/>
      <c r="E75" s="12"/>
      <c r="F75" s="12"/>
      <c r="G75" s="12" t="s">
        <v>61</v>
      </c>
      <c r="H75" s="12"/>
      <c r="I75" s="12"/>
    </row>
    <row r="76" spans="1:15" ht="12.75">
      <c r="A76">
        <v>1</v>
      </c>
      <c r="B76" t="s">
        <v>70</v>
      </c>
      <c r="C76" s="1">
        <f>+C6+C7+C8</f>
        <v>4347826.92</v>
      </c>
      <c r="D76" s="1">
        <f>+D6+D7+D8</f>
        <v>130434.81</v>
      </c>
      <c r="E76" s="1">
        <f>+E6+E7+E8</f>
        <v>4217392.109999999</v>
      </c>
      <c r="F76" s="34">
        <f>+F6+F7+F8/O76</f>
        <v>0.5038</v>
      </c>
      <c r="G76" s="11">
        <f aca="true" t="shared" si="6" ref="G76:H79">+A76</f>
        <v>1</v>
      </c>
      <c r="H76" s="1" t="str">
        <f t="shared" si="6"/>
        <v> 2008-2009</v>
      </c>
      <c r="I76" s="1">
        <f>+I6+I7+I8</f>
        <v>4217392.109999999</v>
      </c>
      <c r="L76" s="11"/>
      <c r="O76" s="11">
        <f>+L6+L7+L8</f>
        <v>3</v>
      </c>
    </row>
    <row r="77" spans="1:15" ht="12.75">
      <c r="A77">
        <v>2</v>
      </c>
      <c r="B77" t="str">
        <f>+B76</f>
        <v> 2008-2009</v>
      </c>
      <c r="C77" s="1">
        <f aca="true" t="shared" si="7" ref="C77:E78">+C9+C10+C11</f>
        <v>5881097.25</v>
      </c>
      <c r="D77" s="1">
        <f t="shared" si="7"/>
        <v>176432.91</v>
      </c>
      <c r="E77" s="1">
        <f t="shared" si="7"/>
        <v>5704664.34</v>
      </c>
      <c r="F77" s="34">
        <f>+F7+F8+F9/O77</f>
        <v>0.6777666666666666</v>
      </c>
      <c r="G77" s="11">
        <f t="shared" si="6"/>
        <v>2</v>
      </c>
      <c r="H77" s="1" t="str">
        <f t="shared" si="6"/>
        <v> 2008-2009</v>
      </c>
      <c r="I77" s="1">
        <f>+I9+I10+I11</f>
        <v>5704664.34</v>
      </c>
      <c r="L77" s="11"/>
      <c r="O77" s="11">
        <f>+L9+L10+L11</f>
        <v>3</v>
      </c>
    </row>
    <row r="78" spans="1:15" ht="12.75">
      <c r="A78">
        <v>3</v>
      </c>
      <c r="B78" t="str">
        <f>+B76</f>
        <v> 2008-2009</v>
      </c>
      <c r="C78" s="1">
        <f t="shared" si="7"/>
        <v>6653965.37</v>
      </c>
      <c r="D78" s="1">
        <f t="shared" si="7"/>
        <v>199618.96000000002</v>
      </c>
      <c r="E78" s="1">
        <f t="shared" si="7"/>
        <v>6454346.41</v>
      </c>
      <c r="F78" s="34">
        <f>+F8+F9+F10/O78</f>
        <v>0.35916666666666663</v>
      </c>
      <c r="G78" s="11">
        <f t="shared" si="6"/>
        <v>3</v>
      </c>
      <c r="H78" s="1" t="str">
        <f t="shared" si="6"/>
        <v> 2008-2009</v>
      </c>
      <c r="I78" s="1">
        <f>+I10+I11+I12</f>
        <v>6454346.41</v>
      </c>
      <c r="O78" s="11">
        <f>+L12+L13+L14</f>
        <v>3</v>
      </c>
    </row>
    <row r="79" spans="1:15" ht="12.75">
      <c r="A79">
        <v>4</v>
      </c>
      <c r="B79" t="str">
        <f>+B76</f>
        <v> 2008-2009</v>
      </c>
      <c r="C79" s="1">
        <f>+C13+C14+C15</f>
        <v>4770912.2299999995</v>
      </c>
      <c r="D79" s="1">
        <f>+D13+D14+D15</f>
        <v>143127.37</v>
      </c>
      <c r="E79" s="1">
        <f>+E13+E14+E15</f>
        <v>4627784.86</v>
      </c>
      <c r="F79" s="1">
        <f>+F13+F14+F15</f>
        <v>0.3262</v>
      </c>
      <c r="G79" s="11">
        <f t="shared" si="6"/>
        <v>4</v>
      </c>
      <c r="H79" s="1" t="str">
        <f t="shared" si="6"/>
        <v> 2008-2009</v>
      </c>
      <c r="I79" s="1">
        <f>+I13+I14+I15</f>
        <v>4627784.86</v>
      </c>
      <c r="O79" s="11">
        <f>+L15+L16+L17</f>
        <v>3</v>
      </c>
    </row>
    <row r="80" spans="1:9" ht="12.75">
      <c r="A80" s="4" t="s">
        <v>62</v>
      </c>
      <c r="B80" s="4"/>
      <c r="C80" s="35">
        <f>SUM(C76:C79)</f>
        <v>21653801.77</v>
      </c>
      <c r="D80" s="35">
        <f>SUM(D76:D79)</f>
        <v>649614.05</v>
      </c>
      <c r="E80" s="35">
        <f>SUM(E76:E79)</f>
        <v>21004187.72</v>
      </c>
      <c r="F80" s="36">
        <f>+F18</f>
        <v>0.07636275447045549</v>
      </c>
      <c r="G80" s="37"/>
      <c r="H80" s="4"/>
      <c r="I80" s="35">
        <f>SUM(I76:I79)</f>
        <v>21004187.72</v>
      </c>
    </row>
    <row r="86" spans="1:9" ht="12.75">
      <c r="A86" s="13"/>
      <c r="B86" s="13"/>
      <c r="C86" s="13" t="s">
        <v>30</v>
      </c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 t="s">
        <v>31</v>
      </c>
      <c r="D87" s="13"/>
      <c r="E87" s="13"/>
      <c r="F87" s="13"/>
      <c r="G87" s="13"/>
      <c r="H87" s="13"/>
      <c r="I87" s="13"/>
    </row>
    <row r="88" spans="1:9" ht="12.75">
      <c r="A88" s="13"/>
      <c r="B88" s="12" t="s">
        <v>4</v>
      </c>
      <c r="C88" s="13" t="s">
        <v>32</v>
      </c>
      <c r="D88" s="13">
        <f>+B6</f>
        <v>2011</v>
      </c>
      <c r="E88" s="13" t="s">
        <v>3</v>
      </c>
      <c r="F88" s="13">
        <f>+D88+1</f>
        <v>2012</v>
      </c>
      <c r="G88" s="13"/>
      <c r="H88" s="13"/>
      <c r="I88" s="13"/>
    </row>
    <row r="89" spans="1:9" ht="12.75">
      <c r="A89" s="13" t="s">
        <v>56</v>
      </c>
      <c r="B89" s="12" t="s">
        <v>15</v>
      </c>
      <c r="C89" s="13" t="s">
        <v>34</v>
      </c>
      <c r="D89" s="13" t="s">
        <v>35</v>
      </c>
      <c r="E89" s="13" t="s">
        <v>55</v>
      </c>
      <c r="F89" s="13" t="s">
        <v>36</v>
      </c>
      <c r="G89" s="13" t="s">
        <v>37</v>
      </c>
      <c r="H89" s="13" t="s">
        <v>38</v>
      </c>
      <c r="I89" s="13" t="s">
        <v>39</v>
      </c>
    </row>
    <row r="90" spans="1:9" ht="12.75">
      <c r="A90">
        <f>+A76</f>
        <v>1</v>
      </c>
      <c r="B90" t="str">
        <f>+B76</f>
        <v> 2008-2009</v>
      </c>
      <c r="C90" s="1">
        <f aca="true" t="shared" si="8" ref="C90:H90">+C27+C28+C29</f>
        <v>99108.71</v>
      </c>
      <c r="D90" s="1">
        <f t="shared" si="8"/>
        <v>4118283.3899999997</v>
      </c>
      <c r="E90" s="1">
        <f t="shared" si="8"/>
        <v>250000.02</v>
      </c>
      <c r="F90" s="1">
        <f t="shared" si="8"/>
        <v>2220970.02</v>
      </c>
      <c r="G90" s="1">
        <f t="shared" si="8"/>
        <v>823656.6699999999</v>
      </c>
      <c r="H90" s="1">
        <f t="shared" si="8"/>
        <v>823656.6699999999</v>
      </c>
      <c r="I90" s="1">
        <f>+J27+J28+J29</f>
        <v>0</v>
      </c>
    </row>
    <row r="91" spans="1:9" ht="12.75">
      <c r="A91">
        <f>+A77</f>
        <v>2</v>
      </c>
      <c r="B91" t="str">
        <f>+B90</f>
        <v> 2008-2009</v>
      </c>
      <c r="C91" s="1">
        <f aca="true" t="shared" si="9" ref="C91:H91">+C30+C31+C32</f>
        <v>134059.61</v>
      </c>
      <c r="D91" s="1">
        <f t="shared" si="9"/>
        <v>5570604.73</v>
      </c>
      <c r="E91" s="1">
        <f t="shared" si="9"/>
        <v>250000.02</v>
      </c>
      <c r="F91" s="1">
        <f t="shared" si="9"/>
        <v>3092362.82</v>
      </c>
      <c r="G91" s="1">
        <f t="shared" si="9"/>
        <v>1114120.95</v>
      </c>
      <c r="H91" s="1">
        <f t="shared" si="9"/>
        <v>1114120.95</v>
      </c>
      <c r="I91" s="1">
        <f>+J30+J31+J32</f>
        <v>0</v>
      </c>
    </row>
    <row r="92" spans="1:9" ht="12.75">
      <c r="A92">
        <f>+A78</f>
        <v>3</v>
      </c>
      <c r="B92" t="str">
        <f>+B90</f>
        <v> 2008-2009</v>
      </c>
      <c r="C92" s="1">
        <f>+C33+C34+C35</f>
        <v>134770.31</v>
      </c>
      <c r="D92" s="1">
        <f>+D33+D34+D35</f>
        <v>5600136.51</v>
      </c>
      <c r="E92" s="1">
        <f>+E33+E34+E35</f>
        <v>250000.02</v>
      </c>
      <c r="F92" s="1">
        <f>+F33+F34+F35</f>
        <v>3110081.8800000004</v>
      </c>
      <c r="G92" s="1">
        <f>+G33+G34+G35</f>
        <v>1120027.3</v>
      </c>
      <c r="H92" s="1">
        <f>+H33+H34+I35</f>
        <v>2335892.08</v>
      </c>
      <c r="I92" s="1">
        <f>+J33+J34+J35</f>
        <v>0</v>
      </c>
    </row>
    <row r="93" spans="1:9" ht="12.75">
      <c r="A93">
        <f>+A79</f>
        <v>4</v>
      </c>
      <c r="B93" t="str">
        <f>+B90</f>
        <v> 2008-2009</v>
      </c>
      <c r="C93" s="1">
        <f>+C36+C37+C38</f>
        <v>87806.23149499999</v>
      </c>
      <c r="D93" s="1">
        <f>+D36+D37+D38</f>
        <v>3648629.418505</v>
      </c>
      <c r="E93" s="1">
        <f>+E36+E37+E38</f>
        <v>249999.93999999997</v>
      </c>
      <c r="F93" s="1">
        <f>+F36+F37+F38</f>
        <v>1939177.5948039999</v>
      </c>
      <c r="G93" s="1">
        <f>+G36+G37+G38</f>
        <v>729725.863701</v>
      </c>
      <c r="H93" s="1">
        <f>+I36+I37+I38</f>
        <v>3736435.66</v>
      </c>
      <c r="I93" s="1">
        <f>+J36+J37+J38</f>
        <v>0</v>
      </c>
    </row>
    <row r="94" spans="1:9" ht="12.75">
      <c r="A94" s="4" t="s">
        <v>62</v>
      </c>
      <c r="B94" s="4"/>
      <c r="C94" s="35">
        <f aca="true" t="shared" si="10" ref="C94:I94">SUM(C90:C93)</f>
        <v>455744.86149499996</v>
      </c>
      <c r="D94" s="35">
        <f t="shared" si="10"/>
        <v>18937654.048505</v>
      </c>
      <c r="E94" s="35">
        <f t="shared" si="10"/>
        <v>999999.9999999999</v>
      </c>
      <c r="F94" s="35">
        <f t="shared" si="10"/>
        <v>10362592.314804</v>
      </c>
      <c r="G94" s="35">
        <f t="shared" si="10"/>
        <v>3787530.783701</v>
      </c>
      <c r="H94" s="35">
        <f t="shared" si="10"/>
        <v>8010105.36</v>
      </c>
      <c r="I94" s="35">
        <f t="shared" si="10"/>
        <v>0</v>
      </c>
    </row>
  </sheetData>
  <sheetProtection/>
  <printOptions/>
  <pageMargins left="0.75" right="0.75" top="1" bottom="1" header="0.5" footer="0.5"/>
  <pageSetup fitToHeight="0" fitToWidth="1" horizontalDpi="300" verticalDpi="300" orientation="landscape" scale="94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V60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2.421875" style="0" customWidth="1"/>
    <col min="3" max="3" width="17.8515625" style="0" customWidth="1"/>
    <col min="4" max="4" width="15.28125" style="0" customWidth="1"/>
    <col min="5" max="5" width="14.140625" style="0" customWidth="1"/>
    <col min="8" max="8" width="10.421875" style="0" customWidth="1"/>
    <col min="9" max="9" width="17.00390625" style="0" customWidth="1"/>
    <col min="10" max="10" width="21.8515625" style="0" customWidth="1"/>
    <col min="11" max="11" width="23.7109375" style="0" customWidth="1"/>
    <col min="13" max="13" width="12.00390625" style="0" bestFit="1" customWidth="1"/>
    <col min="14" max="14" width="9.421875" style="0" bestFit="1" customWidth="1"/>
    <col min="18" max="18" width="9.57421875" style="0" bestFit="1" customWidth="1"/>
    <col min="19" max="19" width="10.140625" style="0" bestFit="1" customWidth="1"/>
    <col min="20" max="20" width="18.00390625" style="0" customWidth="1"/>
    <col min="21" max="21" width="11.140625" style="0" bestFit="1" customWidth="1"/>
  </cols>
  <sheetData>
    <row r="1" spans="1:9" ht="12.75">
      <c r="A1" s="4"/>
      <c r="B1" s="4" t="s">
        <v>0</v>
      </c>
      <c r="C1" s="4"/>
      <c r="D1" s="4"/>
      <c r="E1" s="4"/>
      <c r="F1" s="4"/>
      <c r="G1" s="4"/>
      <c r="H1" s="4"/>
      <c r="I1" s="4"/>
    </row>
    <row r="2" spans="1:9" ht="12.75">
      <c r="A2" s="4"/>
      <c r="B2" s="4" t="s">
        <v>16</v>
      </c>
      <c r="C2" s="4"/>
      <c r="D2" s="4"/>
      <c r="E2" s="4"/>
      <c r="F2" s="4"/>
      <c r="G2" s="4"/>
      <c r="H2" s="4"/>
      <c r="I2" s="4"/>
    </row>
    <row r="3" spans="1:15" ht="12.75">
      <c r="A3" s="4"/>
      <c r="B3" s="4" t="s">
        <v>17</v>
      </c>
      <c r="C3" s="4">
        <f>+B6</f>
        <v>2011</v>
      </c>
      <c r="D3" s="4" t="s">
        <v>3</v>
      </c>
      <c r="E3" s="4">
        <f>+B6+1</f>
        <v>2012</v>
      </c>
      <c r="F3" s="4"/>
      <c r="G3" s="4"/>
      <c r="H3" s="4"/>
      <c r="I3" s="4"/>
      <c r="J3" s="65" t="s">
        <v>93</v>
      </c>
      <c r="K3" t="s">
        <v>21</v>
      </c>
      <c r="M3">
        <f>+B6-1</f>
        <v>2010</v>
      </c>
      <c r="N3" t="s">
        <v>3</v>
      </c>
      <c r="O3">
        <f>+B6</f>
        <v>2011</v>
      </c>
    </row>
    <row r="4" spans="1:9" ht="12.75">
      <c r="A4" s="54" t="s">
        <v>18</v>
      </c>
      <c r="B4" s="54"/>
      <c r="C4" s="54" t="s">
        <v>19</v>
      </c>
      <c r="D4" t="s">
        <v>6</v>
      </c>
      <c r="E4" t="s">
        <v>20</v>
      </c>
      <c r="F4" t="s">
        <v>21</v>
      </c>
      <c r="G4" t="s">
        <v>22</v>
      </c>
      <c r="H4" t="s">
        <v>14</v>
      </c>
      <c r="I4" t="s">
        <v>23</v>
      </c>
    </row>
    <row r="5" spans="1:3" ht="12.75">
      <c r="A5" s="54" t="s">
        <v>14</v>
      </c>
      <c r="B5" s="55" t="s">
        <v>15</v>
      </c>
      <c r="C5" s="54"/>
    </row>
    <row r="6" spans="1:19" s="46" customFormat="1" ht="15.75" customHeight="1">
      <c r="A6" s="45">
        <v>10</v>
      </c>
      <c r="B6" s="45">
        <v>2011</v>
      </c>
      <c r="C6" s="47">
        <v>540963.87</v>
      </c>
      <c r="D6" s="47">
        <v>16228.92</v>
      </c>
      <c r="E6" s="47">
        <v>524734.95</v>
      </c>
      <c r="F6" s="48" t="s">
        <v>76</v>
      </c>
      <c r="G6" s="45">
        <v>11</v>
      </c>
      <c r="H6" s="45">
        <v>2011</v>
      </c>
      <c r="I6" s="47">
        <v>524734.95</v>
      </c>
      <c r="L6" s="49">
        <f aca="true" t="shared" si="0" ref="L6:L17">IF(A6&gt;0,1,0)</f>
        <v>1</v>
      </c>
      <c r="M6" s="50">
        <f>DATE(B6,A6,1)</f>
        <v>40817</v>
      </c>
      <c r="N6" s="51">
        <f aca="true" t="shared" si="1" ref="N6:N17">IF(A6&gt;0,M6,"")</f>
        <v>40817</v>
      </c>
      <c r="R6" s="59">
        <f>IF(L6=1,(F6+1),"")</f>
        <v>1.1279</v>
      </c>
      <c r="S6" s="60">
        <f>IF(L6=1,C6/R6,"")</f>
        <v>479620.41847681534</v>
      </c>
    </row>
    <row r="7" spans="1:19" ht="12.75">
      <c r="A7" s="45">
        <v>11</v>
      </c>
      <c r="B7" s="45">
        <v>2011</v>
      </c>
      <c r="C7" s="47">
        <v>672789</v>
      </c>
      <c r="D7" s="47">
        <v>20183.67</v>
      </c>
      <c r="E7" s="47">
        <v>652605.33</v>
      </c>
      <c r="F7" s="48" t="s">
        <v>80</v>
      </c>
      <c r="G7" s="45">
        <v>12</v>
      </c>
      <c r="H7" s="45">
        <v>2011</v>
      </c>
      <c r="I7" s="47">
        <v>652605.33</v>
      </c>
      <c r="L7" s="49">
        <f t="shared" si="0"/>
        <v>1</v>
      </c>
      <c r="M7" s="50">
        <f aca="true" t="shared" si="2" ref="M7:M17">DATE(B7,A7,1)</f>
        <v>40848</v>
      </c>
      <c r="N7" s="51">
        <f t="shared" si="1"/>
        <v>40848</v>
      </c>
      <c r="R7" s="24">
        <f aca="true" t="shared" si="3" ref="R7:R17">IF(L7=1,(F7+1),"")</f>
        <v>1.2191</v>
      </c>
      <c r="S7" s="22">
        <f aca="true" t="shared" si="4" ref="S7:S17">IF(L7=1,C7/R7,"")</f>
        <v>551873.5132474776</v>
      </c>
    </row>
    <row r="8" spans="1:19" ht="12.75">
      <c r="A8" s="45">
        <v>12</v>
      </c>
      <c r="B8" s="45">
        <v>2011</v>
      </c>
      <c r="C8" s="47">
        <v>960160.59</v>
      </c>
      <c r="D8" s="47">
        <v>28804.82</v>
      </c>
      <c r="E8" s="47">
        <v>931355.77</v>
      </c>
      <c r="F8" s="48" t="s">
        <v>84</v>
      </c>
      <c r="G8" s="45">
        <v>1</v>
      </c>
      <c r="H8" s="45">
        <v>2012</v>
      </c>
      <c r="I8" s="47">
        <v>931355.77</v>
      </c>
      <c r="L8" s="49">
        <f t="shared" si="0"/>
        <v>1</v>
      </c>
      <c r="M8" s="50">
        <f t="shared" si="2"/>
        <v>40878</v>
      </c>
      <c r="N8" s="51">
        <f t="shared" si="1"/>
        <v>40878</v>
      </c>
      <c r="R8" s="24">
        <f t="shared" si="3"/>
        <v>1.4704</v>
      </c>
      <c r="S8" s="22">
        <f t="shared" si="4"/>
        <v>652992.7842763874</v>
      </c>
    </row>
    <row r="9" spans="1:19" ht="12.75">
      <c r="A9" s="45">
        <v>1</v>
      </c>
      <c r="B9" s="45">
        <v>2012</v>
      </c>
      <c r="C9" s="47">
        <v>833120.2</v>
      </c>
      <c r="D9" s="47">
        <v>24993.61</v>
      </c>
      <c r="E9" s="47">
        <v>808126.59</v>
      </c>
      <c r="F9" s="48" t="s">
        <v>88</v>
      </c>
      <c r="G9" s="45">
        <v>2</v>
      </c>
      <c r="H9" s="45">
        <v>2012</v>
      </c>
      <c r="I9" s="47">
        <v>808126.59</v>
      </c>
      <c r="L9" s="49">
        <f t="shared" si="0"/>
        <v>1</v>
      </c>
      <c r="M9" s="50">
        <f t="shared" si="2"/>
        <v>40909</v>
      </c>
      <c r="N9" s="51">
        <f t="shared" si="1"/>
        <v>40909</v>
      </c>
      <c r="R9" s="24">
        <f t="shared" si="3"/>
        <v>0.9648</v>
      </c>
      <c r="S9" s="22">
        <f t="shared" si="4"/>
        <v>863515.9618573798</v>
      </c>
    </row>
    <row r="10" spans="1:22" ht="12.75">
      <c r="A10" s="45">
        <v>2</v>
      </c>
      <c r="B10" s="45">
        <v>2012</v>
      </c>
      <c r="C10" s="47">
        <v>905916.04</v>
      </c>
      <c r="D10" s="47">
        <v>27177.48</v>
      </c>
      <c r="E10" s="47">
        <v>878738.56</v>
      </c>
      <c r="F10" s="66" t="s">
        <v>92</v>
      </c>
      <c r="G10" s="45">
        <v>3</v>
      </c>
      <c r="H10" s="45">
        <v>2012</v>
      </c>
      <c r="I10" s="47">
        <v>878738.56</v>
      </c>
      <c r="J10" s="63">
        <v>780470.4561653065</v>
      </c>
      <c r="K10" s="64">
        <f>+V10</f>
        <v>0.16069354772531796</v>
      </c>
      <c r="L10" s="49">
        <f t="shared" si="0"/>
        <v>1</v>
      </c>
      <c r="M10" s="50">
        <f t="shared" si="2"/>
        <v>40940</v>
      </c>
      <c r="N10" s="51">
        <f t="shared" si="1"/>
        <v>40940</v>
      </c>
      <c r="R10" s="24">
        <f aca="true" t="shared" si="5" ref="R10:R15">IF(L10=1,(F10+1),"")</f>
        <v>0.7719</v>
      </c>
      <c r="S10" s="22">
        <f>IF(L10=1,C10/R10,"")+25</f>
        <v>1173643.3961653064</v>
      </c>
      <c r="T10" s="63">
        <f>1179443.82*(1/3)</f>
        <v>393147.94</v>
      </c>
      <c r="U10" s="26">
        <f>+S10-T10</f>
        <v>780495.4561653065</v>
      </c>
      <c r="V10" s="2">
        <f>+(C10/U10)-1</f>
        <v>0.16069354772531796</v>
      </c>
    </row>
    <row r="11" spans="1:19" ht="14.25" customHeight="1">
      <c r="A11" s="45">
        <v>3</v>
      </c>
      <c r="B11" s="45">
        <v>2012</v>
      </c>
      <c r="C11" s="47">
        <v>1201512.4</v>
      </c>
      <c r="D11" s="47">
        <v>36045.37</v>
      </c>
      <c r="E11" s="47">
        <v>1165467.02</v>
      </c>
      <c r="F11" s="48" t="s">
        <v>97</v>
      </c>
      <c r="G11" s="45">
        <v>4</v>
      </c>
      <c r="H11" s="45">
        <v>2012</v>
      </c>
      <c r="I11" s="47">
        <v>1165467.02</v>
      </c>
      <c r="L11" s="49">
        <f>IF(A11&gt;0,1,0)</f>
        <v>1</v>
      </c>
      <c r="M11" s="50">
        <f>DATE(B11,A11,1)</f>
        <v>40969</v>
      </c>
      <c r="N11" s="51">
        <f>IF(A11&gt;0,M11,"")</f>
        <v>40969</v>
      </c>
      <c r="R11" s="24">
        <f t="shared" si="5"/>
        <v>1.119</v>
      </c>
      <c r="S11" s="22">
        <f>IF(L11=1,C11/R11,"")</f>
        <v>1073737.6228775692</v>
      </c>
    </row>
    <row r="12" spans="1:19" ht="12.75">
      <c r="A12" s="45">
        <v>4</v>
      </c>
      <c r="B12" s="45">
        <v>2012</v>
      </c>
      <c r="C12" s="47">
        <v>1219554.25</v>
      </c>
      <c r="D12" s="47">
        <v>36586.63</v>
      </c>
      <c r="E12" s="47">
        <v>1182967.63</v>
      </c>
      <c r="F12" s="48" t="s">
        <v>101</v>
      </c>
      <c r="G12" s="45">
        <v>5</v>
      </c>
      <c r="H12" s="45">
        <v>2012</v>
      </c>
      <c r="I12" s="47">
        <v>1182967.63</v>
      </c>
      <c r="L12" s="49">
        <f>IF(A12&gt;0,1,0)</f>
        <v>1</v>
      </c>
      <c r="M12" s="50">
        <f>DATE(B12,A12,1)</f>
        <v>41000</v>
      </c>
      <c r="N12" s="51">
        <f>IF(A12&gt;0,M12,"")</f>
        <v>41000</v>
      </c>
      <c r="R12" s="24">
        <f t="shared" si="5"/>
        <v>1.099</v>
      </c>
      <c r="S12" s="22">
        <f>IF(L12=1,C12/R12,"")</f>
        <v>1109694.4949954504</v>
      </c>
    </row>
    <row r="13" spans="1:19" ht="12.75">
      <c r="A13" s="45">
        <v>5</v>
      </c>
      <c r="B13" s="45">
        <v>2012</v>
      </c>
      <c r="C13" s="47">
        <v>957740.95</v>
      </c>
      <c r="D13" s="47">
        <v>28732.23</v>
      </c>
      <c r="E13" s="47">
        <v>929008.72</v>
      </c>
      <c r="F13" s="48" t="s">
        <v>105</v>
      </c>
      <c r="G13" s="45">
        <v>6</v>
      </c>
      <c r="H13" s="45">
        <v>2012</v>
      </c>
      <c r="I13" s="47">
        <v>929008.72</v>
      </c>
      <c r="L13" s="49">
        <f>IF(A13&gt;0,1,0)</f>
        <v>1</v>
      </c>
      <c r="M13" s="50">
        <f>DATE(B13,A13,1)</f>
        <v>41030</v>
      </c>
      <c r="N13" s="51">
        <f>IF(A13&gt;0,M13,"")</f>
        <v>41030</v>
      </c>
      <c r="R13" s="24">
        <f t="shared" si="5"/>
        <v>1.1054</v>
      </c>
      <c r="S13" s="22">
        <f>IF(L13=1,C13/R13,"")</f>
        <v>866420.255111272</v>
      </c>
    </row>
    <row r="14" spans="1:19" ht="12.75">
      <c r="A14" s="45">
        <v>6</v>
      </c>
      <c r="B14" s="45">
        <v>2012</v>
      </c>
      <c r="C14" s="47">
        <v>778842.33</v>
      </c>
      <c r="D14" s="47">
        <v>23365.27</v>
      </c>
      <c r="E14" s="47">
        <v>755477.06</v>
      </c>
      <c r="F14" s="48" t="s">
        <v>109</v>
      </c>
      <c r="G14" s="45">
        <v>7</v>
      </c>
      <c r="H14" s="45">
        <v>2012</v>
      </c>
      <c r="I14" s="47">
        <v>755477.06</v>
      </c>
      <c r="L14" s="49">
        <f>IF(A14&gt;0,1,0)</f>
        <v>1</v>
      </c>
      <c r="M14" s="50">
        <f>DATE(B14,A14,1)</f>
        <v>41061</v>
      </c>
      <c r="N14" s="51">
        <f>IF(A14&gt;0,M14,"")</f>
        <v>41061</v>
      </c>
      <c r="R14" s="24">
        <f t="shared" si="5"/>
        <v>1.1118999999999999</v>
      </c>
      <c r="S14" s="22">
        <f>IF(L14=1,C14/R14,"")</f>
        <v>700460.7698534041</v>
      </c>
    </row>
    <row r="15" spans="1:19" ht="12.75">
      <c r="A15" s="45">
        <v>7</v>
      </c>
      <c r="B15" s="45">
        <v>2012</v>
      </c>
      <c r="C15" s="47">
        <v>648872.83</v>
      </c>
      <c r="D15" s="47">
        <v>19466.18</v>
      </c>
      <c r="E15" s="47">
        <v>629406.65</v>
      </c>
      <c r="F15" s="48" t="s">
        <v>113</v>
      </c>
      <c r="G15" s="45">
        <v>8</v>
      </c>
      <c r="H15" s="45">
        <v>2012</v>
      </c>
      <c r="I15" s="47">
        <v>629406.65</v>
      </c>
      <c r="J15" s="46"/>
      <c r="L15" s="49">
        <f>IF(A15&gt;0,1,0)</f>
        <v>1</v>
      </c>
      <c r="M15" s="50">
        <f>DATE(B15,A15,1)</f>
        <v>41091</v>
      </c>
      <c r="N15" s="51">
        <f>IF(A15&gt;0,M15,"")</f>
        <v>41091</v>
      </c>
      <c r="R15" s="24">
        <f t="shared" si="5"/>
        <v>1.1089</v>
      </c>
      <c r="S15" s="22">
        <f>IF(L15=1,C15/R15,"")</f>
        <v>585149.9954910271</v>
      </c>
    </row>
    <row r="16" spans="1:19" s="46" customFormat="1" ht="12.75">
      <c r="A16" s="67">
        <v>8</v>
      </c>
      <c r="B16" s="67">
        <v>2012</v>
      </c>
      <c r="C16" s="68">
        <v>676307.83</v>
      </c>
      <c r="D16" s="68">
        <v>20289.24</v>
      </c>
      <c r="E16" s="68">
        <v>656018.6</v>
      </c>
      <c r="F16" s="69" t="s">
        <v>117</v>
      </c>
      <c r="G16" s="67">
        <v>9</v>
      </c>
      <c r="H16" s="67">
        <v>2012</v>
      </c>
      <c r="I16" s="68">
        <v>656018.6</v>
      </c>
      <c r="L16" s="49">
        <f t="shared" si="0"/>
        <v>1</v>
      </c>
      <c r="M16" s="50">
        <f t="shared" si="2"/>
        <v>41122</v>
      </c>
      <c r="N16" s="51">
        <f t="shared" si="1"/>
        <v>41122</v>
      </c>
      <c r="R16" s="59">
        <f t="shared" si="3"/>
        <v>1.0681</v>
      </c>
      <c r="S16" s="60">
        <f t="shared" si="4"/>
        <v>633187.7445932028</v>
      </c>
    </row>
    <row r="17" spans="1:19" ht="12.75">
      <c r="A17" s="72">
        <v>9</v>
      </c>
      <c r="B17" s="72">
        <v>2012</v>
      </c>
      <c r="C17" s="70">
        <v>600817.1</v>
      </c>
      <c r="D17" s="70">
        <v>18024.51</v>
      </c>
      <c r="E17" s="70">
        <v>582792.58</v>
      </c>
      <c r="F17" s="71" t="s">
        <v>121</v>
      </c>
      <c r="G17" s="72">
        <v>10</v>
      </c>
      <c r="H17" s="72">
        <v>2012</v>
      </c>
      <c r="I17" s="70">
        <v>582792.58</v>
      </c>
      <c r="L17" s="49">
        <f t="shared" si="0"/>
        <v>1</v>
      </c>
      <c r="M17" s="50">
        <f t="shared" si="2"/>
        <v>41153</v>
      </c>
      <c r="N17" s="51">
        <f t="shared" si="1"/>
        <v>41153</v>
      </c>
      <c r="R17" s="24">
        <f t="shared" si="3"/>
        <v>1.0062</v>
      </c>
      <c r="S17" s="22">
        <f t="shared" si="4"/>
        <v>597114.9870801034</v>
      </c>
    </row>
    <row r="18" spans="1:20" ht="12.75">
      <c r="A18" s="8"/>
      <c r="B18" s="8"/>
      <c r="C18" s="9">
        <f>SUM(C6:C17)</f>
        <v>9996597.389999999</v>
      </c>
      <c r="D18" s="9">
        <f>SUM(D6:D17)</f>
        <v>299897.93</v>
      </c>
      <c r="E18" s="9">
        <f>SUM(E6:E17)</f>
        <v>9696699.459999999</v>
      </c>
      <c r="F18" s="10">
        <f>(C18/S18)-1</f>
        <v>0.07635985678774859</v>
      </c>
      <c r="G18" s="8"/>
      <c r="H18" s="8"/>
      <c r="I18" s="9">
        <f>SUM(I6:I17)</f>
        <v>9696699.459999999</v>
      </c>
      <c r="J18" s="63">
        <f>+T18</f>
        <v>8894264.004025394</v>
      </c>
      <c r="K18" s="64">
        <f>+(C18/J18)-1</f>
        <v>0.12393756082298735</v>
      </c>
      <c r="L18" s="49">
        <f>SUM(L6:L17)</f>
        <v>12</v>
      </c>
      <c r="M18" s="52"/>
      <c r="N18" s="52"/>
      <c r="Q18" s="2">
        <f>(F6+F7+F8+F9+F10+F11+F12+F13+F14+F15+F16+F17)/L18</f>
        <v>0.09771666666666667</v>
      </c>
      <c r="S18" s="22">
        <f>SUM(S6:S17)</f>
        <v>9287411.944025394</v>
      </c>
      <c r="T18" s="22">
        <f>+S18-T10</f>
        <v>8894264.004025394</v>
      </c>
    </row>
    <row r="20" ht="12.75">
      <c r="B20" t="s">
        <v>64</v>
      </c>
    </row>
    <row r="23" ht="12.75">
      <c r="K23">
        <v>393147.94</v>
      </c>
    </row>
    <row r="25" ht="12.75">
      <c r="S25" s="22"/>
    </row>
    <row r="51" spans="1:12" ht="12.75">
      <c r="A51" s="4"/>
      <c r="B51" s="4"/>
      <c r="C51" s="4" t="s">
        <v>0</v>
      </c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 t="s">
        <v>58</v>
      </c>
      <c r="B53" s="4"/>
      <c r="C53" s="4"/>
      <c r="D53" s="4" t="str">
        <f>+B56</f>
        <v>2008-2009</v>
      </c>
      <c r="E53" s="4" t="s">
        <v>57</v>
      </c>
      <c r="F53" s="4"/>
      <c r="G53" s="4"/>
      <c r="H53" s="4"/>
      <c r="I53" s="4"/>
      <c r="J53" s="4"/>
      <c r="K53" s="4"/>
      <c r="L53" s="4"/>
    </row>
    <row r="54" spans="1:9" ht="12.75">
      <c r="A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I54" t="s">
        <v>59</v>
      </c>
    </row>
    <row r="55" spans="1:8" ht="12.75">
      <c r="A55" t="s">
        <v>56</v>
      </c>
      <c r="B55" t="s">
        <v>15</v>
      </c>
      <c r="G55" t="s">
        <v>56</v>
      </c>
      <c r="H55" t="s">
        <v>15</v>
      </c>
    </row>
    <row r="56" spans="1:15" ht="12.75">
      <c r="A56" s="28">
        <v>1</v>
      </c>
      <c r="B56" t="s">
        <v>69</v>
      </c>
      <c r="C56" s="29">
        <f>+C6+C7+C8</f>
        <v>2173913.46</v>
      </c>
      <c r="D56" s="29">
        <f>+D6+D7+D8</f>
        <v>65217.409999999996</v>
      </c>
      <c r="E56" s="29">
        <f>+E6+E7+E8</f>
        <v>2108696.05</v>
      </c>
      <c r="F56" s="30">
        <f>(F6+F7+F8)/O56</f>
        <v>0.27246666666666663</v>
      </c>
      <c r="G56" s="28">
        <v>1</v>
      </c>
      <c r="H56" s="44" t="str">
        <f>+$B$56</f>
        <v>2008-2009</v>
      </c>
      <c r="I56" s="29">
        <f>+I6+I7+I8</f>
        <v>2108696.05</v>
      </c>
      <c r="J56" s="29"/>
      <c r="K56" s="29"/>
      <c r="L56" s="32">
        <f>+L6+L7+L8</f>
        <v>3</v>
      </c>
      <c r="O56" s="31">
        <f>+L6+L7+L8</f>
        <v>3</v>
      </c>
    </row>
    <row r="57" spans="1:15" ht="12.75">
      <c r="A57" s="28">
        <v>2</v>
      </c>
      <c r="B57" s="44" t="str">
        <f>+$B$56</f>
        <v>2008-2009</v>
      </c>
      <c r="C57" s="29">
        <f>+C9+C10+C11</f>
        <v>2940548.6399999997</v>
      </c>
      <c r="D57" s="29">
        <f>+D9+D10+D11</f>
        <v>88216.45999999999</v>
      </c>
      <c r="E57" s="29">
        <f>+E9+E10+E11</f>
        <v>2852332.17</v>
      </c>
      <c r="F57" s="30">
        <f>(F7+F8+F9)/O57</f>
        <v>0.2181</v>
      </c>
      <c r="G57" s="28">
        <v>2</v>
      </c>
      <c r="H57" s="44" t="str">
        <f>+$B$56</f>
        <v>2008-2009</v>
      </c>
      <c r="I57" s="29">
        <f>+I9+I10+I11</f>
        <v>2852332.17</v>
      </c>
      <c r="J57" s="29"/>
      <c r="K57" s="29"/>
      <c r="L57" s="32">
        <f>+L9+L10+L11</f>
        <v>3</v>
      </c>
      <c r="O57" s="31">
        <v>3</v>
      </c>
    </row>
    <row r="58" spans="1:15" ht="12.75">
      <c r="A58" s="28">
        <v>3</v>
      </c>
      <c r="B58" s="44" t="str">
        <f>+$B$56</f>
        <v>2008-2009</v>
      </c>
      <c r="C58" s="29">
        <f>+C12+C13+C14</f>
        <v>2956137.5300000003</v>
      </c>
      <c r="D58" s="29">
        <f>+D12+D13+D14</f>
        <v>88684.13</v>
      </c>
      <c r="E58" s="29">
        <f>+E12+E13+E14</f>
        <v>2867453.4099999997</v>
      </c>
      <c r="F58" s="30">
        <f>+F12+F13+F14/O58</f>
        <v>0.3163</v>
      </c>
      <c r="G58" s="28">
        <v>3</v>
      </c>
      <c r="H58" s="44" t="str">
        <f>+$B$56</f>
        <v>2008-2009</v>
      </c>
      <c r="I58" s="29">
        <f>+I12+I13+I14</f>
        <v>2867453.4099999997</v>
      </c>
      <c r="J58" s="29"/>
      <c r="K58" s="29"/>
      <c r="L58" s="32">
        <f>+L12+L13+L14</f>
        <v>3</v>
      </c>
      <c r="O58" s="31">
        <v>1</v>
      </c>
    </row>
    <row r="59" spans="1:15" ht="12.75">
      <c r="A59" s="28">
        <v>4</v>
      </c>
      <c r="B59" s="44" t="str">
        <f>+$B$56</f>
        <v>2008-2009</v>
      </c>
      <c r="C59" s="29">
        <f>+C15+C16+C17</f>
        <v>1925997.7599999998</v>
      </c>
      <c r="D59" s="29">
        <f>+D15+D16+D17</f>
        <v>57779.92999999999</v>
      </c>
      <c r="E59" s="29">
        <f>+E15+E16+E17</f>
        <v>1868217.83</v>
      </c>
      <c r="F59" s="30">
        <v>0</v>
      </c>
      <c r="G59" s="28">
        <v>4</v>
      </c>
      <c r="H59" s="44" t="str">
        <f>+$B$56</f>
        <v>2008-2009</v>
      </c>
      <c r="I59" s="29">
        <f>+I15+I16+I17</f>
        <v>1868217.83</v>
      </c>
      <c r="J59" s="29"/>
      <c r="K59" s="29"/>
      <c r="L59" s="32">
        <f>+L15+L16+L17</f>
        <v>3</v>
      </c>
      <c r="O59" s="31">
        <v>0</v>
      </c>
    </row>
    <row r="60" spans="1:12" ht="12.75">
      <c r="A60" s="5"/>
      <c r="B60" s="5"/>
      <c r="C60" s="6">
        <f>SUM(C48:C59)</f>
        <v>9996597.39</v>
      </c>
      <c r="D60" s="6">
        <f>SUM(D48:D59)</f>
        <v>299897.93</v>
      </c>
      <c r="E60" s="6">
        <f>SUM(E48:E59)</f>
        <v>9696699.459999999</v>
      </c>
      <c r="F60" s="7">
        <f>+F18</f>
        <v>0.07635985678774859</v>
      </c>
      <c r="G60" s="5"/>
      <c r="H60" s="5"/>
      <c r="I60" s="6">
        <f>SUM(I48:I59)</f>
        <v>9696699.459999999</v>
      </c>
      <c r="J60" s="6"/>
      <c r="K60" s="6"/>
      <c r="L60" s="33">
        <f>SUM(L48:L59)</f>
        <v>12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94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15.7109375" style="0" customWidth="1"/>
    <col min="4" max="4" width="16.140625" style="0" customWidth="1"/>
    <col min="5" max="5" width="17.00390625" style="0" customWidth="1"/>
    <col min="6" max="6" width="14.421875" style="0" customWidth="1"/>
    <col min="7" max="7" width="14.7109375" style="0" customWidth="1"/>
    <col min="8" max="8" width="21.7109375" style="0" customWidth="1"/>
    <col min="9" max="9" width="16.140625" style="0" customWidth="1"/>
    <col min="14" max="14" width="12.140625" style="0" customWidth="1"/>
    <col min="19" max="19" width="10.140625" style="0" bestFit="1" customWidth="1"/>
  </cols>
  <sheetData>
    <row r="1" spans="1:9" ht="12.75">
      <c r="A1" s="16"/>
      <c r="B1" s="13"/>
      <c r="C1" s="13" t="s">
        <v>40</v>
      </c>
      <c r="D1" s="13"/>
      <c r="E1" s="13"/>
      <c r="F1" s="13"/>
      <c r="G1" s="13"/>
      <c r="H1" s="13"/>
      <c r="I1" s="13"/>
    </row>
    <row r="2" spans="1:16" ht="12.75">
      <c r="A2" s="13" t="s">
        <v>53</v>
      </c>
      <c r="B2" s="13"/>
      <c r="C2" s="13" t="s">
        <v>41</v>
      </c>
      <c r="D2" s="13"/>
      <c r="E2" s="13"/>
      <c r="F2" s="13"/>
      <c r="G2" s="13"/>
      <c r="H2" s="13"/>
      <c r="I2" s="13"/>
      <c r="N2">
        <f>+B6-1</f>
        <v>2010</v>
      </c>
      <c r="O2" t="s">
        <v>3</v>
      </c>
      <c r="P2">
        <f>+B6</f>
        <v>2011</v>
      </c>
    </row>
    <row r="3" spans="1:9" ht="12.75">
      <c r="A3" s="13"/>
      <c r="B3" s="13"/>
      <c r="C3" s="13" t="s">
        <v>26</v>
      </c>
      <c r="D3" s="13">
        <f>+B6</f>
        <v>2011</v>
      </c>
      <c r="E3" s="13" t="s">
        <v>3</v>
      </c>
      <c r="F3" s="13">
        <f>+B6+1</f>
        <v>2012</v>
      </c>
      <c r="G3" s="13"/>
      <c r="H3" s="13"/>
      <c r="I3" s="13"/>
    </row>
    <row r="4" spans="1:9" ht="12.75">
      <c r="A4" s="13"/>
      <c r="B4" s="13" t="s">
        <v>4</v>
      </c>
      <c r="C4" s="13" t="s">
        <v>19</v>
      </c>
      <c r="D4" s="13" t="s">
        <v>27</v>
      </c>
      <c r="E4" s="13" t="s">
        <v>28</v>
      </c>
      <c r="F4" s="13" t="s">
        <v>21</v>
      </c>
      <c r="G4" s="13" t="s">
        <v>22</v>
      </c>
      <c r="H4" s="13"/>
      <c r="I4" s="13" t="s">
        <v>42</v>
      </c>
    </row>
    <row r="5" spans="1:9" ht="12.75">
      <c r="A5" s="13"/>
      <c r="B5" s="13" t="s">
        <v>14</v>
      </c>
      <c r="C5" s="13"/>
      <c r="D5" s="13"/>
      <c r="E5" s="13"/>
      <c r="F5" s="13"/>
      <c r="G5" s="13" t="s">
        <v>14</v>
      </c>
      <c r="H5" s="13"/>
      <c r="I5" s="13"/>
    </row>
    <row r="6" spans="1:19" ht="12.75">
      <c r="A6" s="45">
        <v>10</v>
      </c>
      <c r="B6" s="45">
        <v>2011</v>
      </c>
      <c r="C6" s="47">
        <v>379959</v>
      </c>
      <c r="D6" s="47">
        <v>11398.77</v>
      </c>
      <c r="E6" s="47">
        <v>368560.23</v>
      </c>
      <c r="F6" s="48" t="s">
        <v>77</v>
      </c>
      <c r="G6" s="45">
        <v>11</v>
      </c>
      <c r="H6" s="45">
        <v>2011</v>
      </c>
      <c r="I6" s="47">
        <v>368560.23</v>
      </c>
      <c r="J6" s="46"/>
      <c r="M6">
        <f aca="true" t="shared" si="0" ref="M6:M17">IF(A6&gt;0,1,0)</f>
        <v>1</v>
      </c>
      <c r="N6" s="25">
        <f>DATE(B6,A6,1)</f>
        <v>40817</v>
      </c>
      <c r="O6" s="23">
        <f aca="true" t="shared" si="1" ref="O6:O17">IF(B6&gt;0,N6,"")</f>
        <v>40817</v>
      </c>
      <c r="R6" s="24">
        <f>IF(M6=1,(F6+1),"")</f>
        <v>1.2125</v>
      </c>
      <c r="S6" s="22">
        <f>IF(M6=1,C6/R6,"")</f>
        <v>313368.24742268043</v>
      </c>
    </row>
    <row r="7" spans="1:19" ht="12.75">
      <c r="A7" s="45">
        <v>11</v>
      </c>
      <c r="B7" s="45">
        <v>2011</v>
      </c>
      <c r="C7" s="47">
        <v>444900.81</v>
      </c>
      <c r="D7" s="47">
        <v>13347.02</v>
      </c>
      <c r="E7" s="47">
        <v>431553.79</v>
      </c>
      <c r="F7" s="48" t="s">
        <v>81</v>
      </c>
      <c r="G7" s="45">
        <v>12</v>
      </c>
      <c r="H7" s="45">
        <v>2011</v>
      </c>
      <c r="I7" s="47">
        <v>431553.79</v>
      </c>
      <c r="M7">
        <f t="shared" si="0"/>
        <v>1</v>
      </c>
      <c r="N7" s="25">
        <f aca="true" t="shared" si="2" ref="N7:N17">DATE(B7,A7,1)</f>
        <v>40848</v>
      </c>
      <c r="O7" s="23">
        <f t="shared" si="1"/>
        <v>40848</v>
      </c>
      <c r="R7" s="24">
        <f aca="true" t="shared" si="3" ref="R7:R17">IF(M7=1,(F7+1),"")</f>
        <v>1.0533</v>
      </c>
      <c r="S7" s="22">
        <f aca="true" t="shared" si="4" ref="S7:S17">IF(M7=1,C7/R7,"")</f>
        <v>422387.55340358877</v>
      </c>
    </row>
    <row r="8" spans="1:19" ht="12.75">
      <c r="A8" s="45">
        <v>12</v>
      </c>
      <c r="B8" s="45">
        <v>2011</v>
      </c>
      <c r="C8" s="47">
        <v>699405.13</v>
      </c>
      <c r="D8" s="47">
        <v>20982.15</v>
      </c>
      <c r="E8" s="47">
        <v>678422.98</v>
      </c>
      <c r="F8" s="48" t="s">
        <v>85</v>
      </c>
      <c r="G8" s="45">
        <v>1</v>
      </c>
      <c r="H8" s="45">
        <v>2012</v>
      </c>
      <c r="I8" s="47">
        <v>678422.98</v>
      </c>
      <c r="M8">
        <f t="shared" si="0"/>
        <v>1</v>
      </c>
      <c r="N8" s="25">
        <f t="shared" si="2"/>
        <v>40878</v>
      </c>
      <c r="O8" s="23">
        <f t="shared" si="1"/>
        <v>40878</v>
      </c>
      <c r="R8" s="24">
        <f t="shared" si="3"/>
        <v>1.7061</v>
      </c>
      <c r="S8" s="22">
        <f t="shared" si="4"/>
        <v>409943.8075142137</v>
      </c>
    </row>
    <row r="9" spans="1:19" ht="12.75">
      <c r="A9" s="45">
        <v>1</v>
      </c>
      <c r="B9" s="45">
        <v>2012</v>
      </c>
      <c r="C9" s="47">
        <v>572988.4</v>
      </c>
      <c r="D9" s="47">
        <v>17189.65</v>
      </c>
      <c r="E9" s="47">
        <v>555798.75</v>
      </c>
      <c r="F9" s="48" t="s">
        <v>89</v>
      </c>
      <c r="G9" s="45">
        <v>2</v>
      </c>
      <c r="H9" s="45">
        <v>2012</v>
      </c>
      <c r="I9" s="47">
        <v>555798.75</v>
      </c>
      <c r="M9">
        <f t="shared" si="0"/>
        <v>1</v>
      </c>
      <c r="N9" s="25">
        <f t="shared" si="2"/>
        <v>40909</v>
      </c>
      <c r="O9" s="23">
        <f t="shared" si="1"/>
        <v>40909</v>
      </c>
      <c r="R9" s="24">
        <f t="shared" si="3"/>
        <v>1.0184</v>
      </c>
      <c r="S9" s="22">
        <f t="shared" si="4"/>
        <v>562635.8994501178</v>
      </c>
    </row>
    <row r="10" spans="1:19" ht="12.75">
      <c r="A10" s="45">
        <v>2</v>
      </c>
      <c r="B10" s="45">
        <v>2012</v>
      </c>
      <c r="C10" s="47">
        <v>516304.41</v>
      </c>
      <c r="D10" s="47">
        <v>15489.13</v>
      </c>
      <c r="E10" s="47">
        <v>500815.28</v>
      </c>
      <c r="F10" s="48" t="s">
        <v>94</v>
      </c>
      <c r="G10" s="45">
        <v>3</v>
      </c>
      <c r="H10" s="45">
        <v>2012</v>
      </c>
      <c r="I10" s="47">
        <v>500815.28</v>
      </c>
      <c r="M10">
        <f t="shared" si="0"/>
        <v>1</v>
      </c>
      <c r="N10" s="25">
        <f t="shared" si="2"/>
        <v>40940</v>
      </c>
      <c r="O10" s="23">
        <f t="shared" si="1"/>
        <v>40940</v>
      </c>
      <c r="R10" s="24">
        <f t="shared" si="3"/>
        <v>1.1825</v>
      </c>
      <c r="S10" s="22">
        <f t="shared" si="4"/>
        <v>436621.06553911197</v>
      </c>
    </row>
    <row r="11" spans="1:19" ht="12.75">
      <c r="A11" s="45">
        <v>3</v>
      </c>
      <c r="B11" s="45">
        <v>2012</v>
      </c>
      <c r="C11" s="47">
        <v>782858.92</v>
      </c>
      <c r="D11" s="47">
        <v>23485.77</v>
      </c>
      <c r="E11" s="47">
        <v>759373.15</v>
      </c>
      <c r="F11" s="48" t="s">
        <v>98</v>
      </c>
      <c r="G11" s="45">
        <v>4</v>
      </c>
      <c r="H11" s="45">
        <v>2012</v>
      </c>
      <c r="I11" s="47">
        <v>759373.15</v>
      </c>
      <c r="M11">
        <f t="shared" si="0"/>
        <v>1</v>
      </c>
      <c r="N11" s="25">
        <f t="shared" si="2"/>
        <v>40969</v>
      </c>
      <c r="O11" s="23">
        <f t="shared" si="1"/>
        <v>40969</v>
      </c>
      <c r="R11" s="24">
        <f t="shared" si="3"/>
        <v>1.0929</v>
      </c>
      <c r="S11" s="22">
        <f t="shared" si="4"/>
        <v>716313.4047030836</v>
      </c>
    </row>
    <row r="12" spans="1:19" ht="12.75">
      <c r="A12" s="45">
        <v>4</v>
      </c>
      <c r="B12" s="45">
        <v>2012</v>
      </c>
      <c r="C12" s="47">
        <v>699887.7</v>
      </c>
      <c r="D12" s="47">
        <v>20996.63</v>
      </c>
      <c r="E12" s="47">
        <v>678891.07</v>
      </c>
      <c r="F12" s="48" t="s">
        <v>102</v>
      </c>
      <c r="G12" s="45">
        <v>5</v>
      </c>
      <c r="H12" s="45">
        <v>2012</v>
      </c>
      <c r="I12" s="47">
        <v>678891.07</v>
      </c>
      <c r="M12">
        <f t="shared" si="0"/>
        <v>1</v>
      </c>
      <c r="N12" s="25">
        <f t="shared" si="2"/>
        <v>41000</v>
      </c>
      <c r="O12" s="23">
        <f t="shared" si="1"/>
        <v>41000</v>
      </c>
      <c r="R12" s="24">
        <f t="shared" si="3"/>
        <v>1.0806</v>
      </c>
      <c r="S12" s="22">
        <f t="shared" si="4"/>
        <v>647684.3420322043</v>
      </c>
    </row>
    <row r="13" spans="1:19" ht="12.75">
      <c r="A13" s="45">
        <v>5</v>
      </c>
      <c r="B13" s="45">
        <v>2012</v>
      </c>
      <c r="C13" s="47">
        <v>589682.69</v>
      </c>
      <c r="D13" s="47">
        <v>17690.48</v>
      </c>
      <c r="E13" s="47">
        <v>571992.21</v>
      </c>
      <c r="F13" s="48" t="s">
        <v>106</v>
      </c>
      <c r="G13" s="45">
        <v>6</v>
      </c>
      <c r="H13" s="45">
        <v>2012</v>
      </c>
      <c r="I13" s="47">
        <v>571992.21</v>
      </c>
      <c r="M13">
        <f t="shared" si="0"/>
        <v>1</v>
      </c>
      <c r="N13" s="25">
        <f t="shared" si="2"/>
        <v>41030</v>
      </c>
      <c r="O13" s="23">
        <f t="shared" si="1"/>
        <v>41030</v>
      </c>
      <c r="R13" s="24">
        <f t="shared" si="3"/>
        <v>1.0446</v>
      </c>
      <c r="S13" s="22">
        <f t="shared" si="4"/>
        <v>564505.7342523454</v>
      </c>
    </row>
    <row r="14" spans="1:19" ht="12.75">
      <c r="A14" s="45">
        <v>6</v>
      </c>
      <c r="B14" s="45">
        <v>2012</v>
      </c>
      <c r="C14" s="47">
        <v>600484.46</v>
      </c>
      <c r="D14" s="47">
        <v>18014.53</v>
      </c>
      <c r="E14" s="47">
        <v>582469.93</v>
      </c>
      <c r="F14" s="48" t="s">
        <v>110</v>
      </c>
      <c r="G14" s="45">
        <v>7</v>
      </c>
      <c r="H14" s="45">
        <v>2012</v>
      </c>
      <c r="I14" s="47">
        <v>582469.93</v>
      </c>
      <c r="M14">
        <f t="shared" si="0"/>
        <v>1</v>
      </c>
      <c r="N14" s="25">
        <f t="shared" si="2"/>
        <v>41061</v>
      </c>
      <c r="O14" s="23">
        <f t="shared" si="1"/>
        <v>41061</v>
      </c>
      <c r="R14" s="24">
        <f t="shared" si="3"/>
        <v>1.1287</v>
      </c>
      <c r="S14" s="22">
        <f t="shared" si="4"/>
        <v>532014.228758749</v>
      </c>
    </row>
    <row r="15" spans="1:19" ht="12.75">
      <c r="A15" s="45">
        <v>7</v>
      </c>
      <c r="B15" s="45">
        <v>2012</v>
      </c>
      <c r="C15" s="47">
        <v>490374.01</v>
      </c>
      <c r="D15" s="47">
        <v>14711.22</v>
      </c>
      <c r="E15" s="47">
        <v>475662.79</v>
      </c>
      <c r="F15" s="48" t="s">
        <v>114</v>
      </c>
      <c r="G15" s="45">
        <v>8</v>
      </c>
      <c r="H15" s="45">
        <v>2012</v>
      </c>
      <c r="I15" s="47">
        <v>475662.79</v>
      </c>
      <c r="M15">
        <f t="shared" si="0"/>
        <v>1</v>
      </c>
      <c r="N15" s="25">
        <f t="shared" si="2"/>
        <v>41091</v>
      </c>
      <c r="O15" s="23">
        <f t="shared" si="1"/>
        <v>41091</v>
      </c>
      <c r="R15" s="24">
        <f t="shared" si="3"/>
        <v>1.197</v>
      </c>
      <c r="S15" s="22">
        <f t="shared" si="4"/>
        <v>409669.1812865497</v>
      </c>
    </row>
    <row r="16" spans="1:19" ht="12.75">
      <c r="A16" s="72">
        <v>8</v>
      </c>
      <c r="B16" s="72">
        <v>2012</v>
      </c>
      <c r="C16" s="70">
        <v>420532.29</v>
      </c>
      <c r="D16" s="70">
        <v>12615.97</v>
      </c>
      <c r="E16" s="70">
        <v>407916.32</v>
      </c>
      <c r="F16" s="71" t="s">
        <v>118</v>
      </c>
      <c r="G16" s="72">
        <v>9</v>
      </c>
      <c r="H16" s="72">
        <v>2012</v>
      </c>
      <c r="I16" s="70">
        <v>407916.32</v>
      </c>
      <c r="M16">
        <f t="shared" si="0"/>
        <v>1</v>
      </c>
      <c r="N16" s="25">
        <f t="shared" si="2"/>
        <v>41122</v>
      </c>
      <c r="O16" s="23">
        <f t="shared" si="1"/>
        <v>41122</v>
      </c>
      <c r="R16" s="24">
        <f t="shared" si="3"/>
        <v>1.0748</v>
      </c>
      <c r="S16" s="22">
        <f t="shared" si="4"/>
        <v>391265.6215109788</v>
      </c>
    </row>
    <row r="17" spans="1:19" s="46" customFormat="1" ht="12.75">
      <c r="A17" s="61">
        <v>9</v>
      </c>
      <c r="B17" s="62">
        <v>2012</v>
      </c>
      <c r="C17" s="47">
        <v>330195.38</v>
      </c>
      <c r="D17" s="47">
        <v>9905.86</v>
      </c>
      <c r="E17" s="47">
        <v>320289.52</v>
      </c>
      <c r="F17" s="48">
        <v>-0.0974</v>
      </c>
      <c r="G17" s="45">
        <v>10</v>
      </c>
      <c r="H17" s="62">
        <v>2012</v>
      </c>
      <c r="I17" s="47">
        <v>320289.52</v>
      </c>
      <c r="M17" s="46">
        <f t="shared" si="0"/>
        <v>1</v>
      </c>
      <c r="N17" s="57">
        <f t="shared" si="2"/>
        <v>41153</v>
      </c>
      <c r="O17" s="58">
        <f t="shared" si="1"/>
        <v>41153</v>
      </c>
      <c r="R17" s="59">
        <f t="shared" si="3"/>
        <v>0.9026</v>
      </c>
      <c r="S17" s="60">
        <f t="shared" si="4"/>
        <v>365826.92222468427</v>
      </c>
    </row>
    <row r="18" spans="1:19" ht="12.75">
      <c r="A18" s="17"/>
      <c r="B18" s="17"/>
      <c r="C18" s="18">
        <f>SUM(C6:C17)</f>
        <v>6527573.2</v>
      </c>
      <c r="D18" s="18">
        <f>SUM(D6:D17)</f>
        <v>195827.18</v>
      </c>
      <c r="E18" s="18">
        <f>SUM(E6:E17)</f>
        <v>6331746.02</v>
      </c>
      <c r="F18" s="19">
        <f>(C18/S18)-1</f>
        <v>0.13085694882225396</v>
      </c>
      <c r="G18" s="17"/>
      <c r="H18" s="17"/>
      <c r="I18" s="18">
        <f>SUM(I6:I17)</f>
        <v>6331746.02</v>
      </c>
      <c r="M18">
        <f>SUM(M6:M17)</f>
        <v>12</v>
      </c>
      <c r="O18" s="2">
        <f>(F6+F7+F8+F9+F10+F11+F12+F13+F14+F15+F16+F17)/M18</f>
        <v>0.1411666666666667</v>
      </c>
      <c r="S18" s="22">
        <f>SUM(S6:S17)</f>
        <v>5772236.008098308</v>
      </c>
    </row>
    <row r="22" spans="1:7" ht="12.75">
      <c r="A22" s="14"/>
      <c r="B22" s="14"/>
      <c r="C22" s="14" t="s">
        <v>30</v>
      </c>
      <c r="D22" s="14"/>
      <c r="E22" s="14"/>
      <c r="F22" s="14"/>
      <c r="G22" s="14"/>
    </row>
    <row r="23" spans="1:7" ht="12.75">
      <c r="A23" s="14"/>
      <c r="B23" s="14"/>
      <c r="C23" s="14" t="s">
        <v>43</v>
      </c>
      <c r="D23" s="14"/>
      <c r="E23" s="14"/>
      <c r="F23" s="14"/>
      <c r="G23" s="14"/>
    </row>
    <row r="24" spans="1:7" ht="12.75">
      <c r="A24" s="14"/>
      <c r="B24" s="14"/>
      <c r="C24" s="14" t="s">
        <v>32</v>
      </c>
      <c r="D24" s="14">
        <f>+B27</f>
        <v>2011</v>
      </c>
      <c r="E24" s="14" t="s">
        <v>3</v>
      </c>
      <c r="F24" s="14">
        <f>+B27+1</f>
        <v>2012</v>
      </c>
      <c r="G24" s="14"/>
    </row>
    <row r="25" spans="1:7" ht="12.75">
      <c r="A25" s="14" t="s">
        <v>33</v>
      </c>
      <c r="B25" s="14" t="s">
        <v>14</v>
      </c>
      <c r="C25" s="14" t="s">
        <v>34</v>
      </c>
      <c r="D25" s="14" t="s">
        <v>35</v>
      </c>
      <c r="E25" s="14" t="s">
        <v>44</v>
      </c>
      <c r="F25" s="14" t="s">
        <v>36</v>
      </c>
      <c r="G25" s="14" t="s">
        <v>39</v>
      </c>
    </row>
    <row r="26" spans="1:2" ht="12.75">
      <c r="A26" t="s">
        <v>14</v>
      </c>
      <c r="B26" t="s">
        <v>15</v>
      </c>
    </row>
    <row r="27" spans="1:8" ht="12.75">
      <c r="A27" s="45">
        <v>11</v>
      </c>
      <c r="B27" s="45">
        <v>2011</v>
      </c>
      <c r="C27" s="47">
        <v>8661.17</v>
      </c>
      <c r="D27" s="47">
        <v>359899.06</v>
      </c>
      <c r="E27" s="47">
        <v>8333.33</v>
      </c>
      <c r="F27" s="47">
        <v>351565.73</v>
      </c>
      <c r="G27" s="47">
        <v>368560.23</v>
      </c>
      <c r="H27" s="74"/>
    </row>
    <row r="28" spans="1:7" ht="12.75">
      <c r="A28" s="45">
        <v>12</v>
      </c>
      <c r="B28" s="45">
        <v>2011</v>
      </c>
      <c r="C28" s="47">
        <v>10141.51</v>
      </c>
      <c r="D28" s="47">
        <v>421412.27</v>
      </c>
      <c r="E28" s="47">
        <v>8333.33</v>
      </c>
      <c r="F28" s="47">
        <v>413078.94</v>
      </c>
      <c r="G28" s="47">
        <v>431553.79</v>
      </c>
    </row>
    <row r="29" spans="1:7" ht="12.75">
      <c r="A29" s="45">
        <v>1</v>
      </c>
      <c r="B29" s="45">
        <v>2011</v>
      </c>
      <c r="C29" s="47">
        <v>15942.94</v>
      </c>
      <c r="D29" s="47">
        <v>662480.04</v>
      </c>
      <c r="E29" s="47">
        <v>8333.33</v>
      </c>
      <c r="F29" s="47">
        <v>654146.71</v>
      </c>
      <c r="G29" s="47">
        <v>678422.98</v>
      </c>
    </row>
    <row r="30" spans="1:7" ht="12.75">
      <c r="A30" s="45">
        <v>2</v>
      </c>
      <c r="B30" s="45">
        <v>2012</v>
      </c>
      <c r="C30" s="47">
        <v>13061.27</v>
      </c>
      <c r="D30" s="47">
        <v>542737.48</v>
      </c>
      <c r="E30" s="47">
        <v>8333.33</v>
      </c>
      <c r="F30" s="47">
        <v>534404.15</v>
      </c>
      <c r="G30" s="47">
        <v>555798.75</v>
      </c>
    </row>
    <row r="31" spans="1:7" ht="12.75">
      <c r="A31" s="45">
        <v>3</v>
      </c>
      <c r="B31" s="45">
        <v>2012</v>
      </c>
      <c r="C31" s="47">
        <v>11769.16</v>
      </c>
      <c r="D31" s="47">
        <v>489046.12</v>
      </c>
      <c r="E31" s="47">
        <v>8333.33</v>
      </c>
      <c r="F31" s="47">
        <v>480712.79</v>
      </c>
      <c r="G31" s="47">
        <v>500815.28</v>
      </c>
    </row>
    <row r="32" spans="1:7" ht="12.75">
      <c r="A32" s="45">
        <v>4</v>
      </c>
      <c r="B32" s="45">
        <v>2012</v>
      </c>
      <c r="C32" s="47">
        <v>17845.27</v>
      </c>
      <c r="D32" s="47">
        <v>741527.88</v>
      </c>
      <c r="E32" s="47">
        <v>8333.33</v>
      </c>
      <c r="F32" s="47">
        <v>733194.55</v>
      </c>
      <c r="G32" s="47">
        <v>759373.15</v>
      </c>
    </row>
    <row r="33" spans="1:7" ht="12.75">
      <c r="A33" s="45">
        <v>5</v>
      </c>
      <c r="B33" s="45">
        <v>2012</v>
      </c>
      <c r="C33" s="47">
        <v>15953.94</v>
      </c>
      <c r="D33" s="47">
        <v>662937.13</v>
      </c>
      <c r="E33" s="47">
        <v>8333.33</v>
      </c>
      <c r="F33" s="47">
        <v>654603.8</v>
      </c>
      <c r="G33" s="47">
        <v>678891.07</v>
      </c>
    </row>
    <row r="34" spans="1:7" ht="12.75">
      <c r="A34" s="45">
        <v>6</v>
      </c>
      <c r="B34" s="45">
        <v>2012</v>
      </c>
      <c r="C34" s="47">
        <v>13441.82</v>
      </c>
      <c r="D34" s="47">
        <v>558550.39</v>
      </c>
      <c r="E34" s="47">
        <v>8333.33</v>
      </c>
      <c r="F34" s="47">
        <v>550217.06</v>
      </c>
      <c r="G34" s="47">
        <v>571992.21</v>
      </c>
    </row>
    <row r="35" spans="1:7" ht="12.75">
      <c r="A35" s="45">
        <v>7</v>
      </c>
      <c r="B35" s="45">
        <v>2012</v>
      </c>
      <c r="C35" s="47">
        <v>13688.04</v>
      </c>
      <c r="D35" s="47">
        <v>568781.88</v>
      </c>
      <c r="E35" s="47">
        <v>8333.33</v>
      </c>
      <c r="F35" s="47">
        <v>560448.55</v>
      </c>
      <c r="G35" s="47">
        <v>582469.93</v>
      </c>
    </row>
    <row r="36" spans="1:7" ht="12.75">
      <c r="A36" s="45">
        <v>8</v>
      </c>
      <c r="B36" s="45">
        <v>2012</v>
      </c>
      <c r="C36" s="47">
        <v>11178.08</v>
      </c>
      <c r="D36" s="47">
        <v>464484.71</v>
      </c>
      <c r="E36" s="47">
        <v>8333.33</v>
      </c>
      <c r="F36" s="47">
        <v>456151.38</v>
      </c>
      <c r="G36" s="47">
        <v>475662.79</v>
      </c>
    </row>
    <row r="37" spans="1:8" ht="12.75">
      <c r="A37" s="72">
        <v>9</v>
      </c>
      <c r="B37" s="45">
        <v>2012</v>
      </c>
      <c r="C37" s="70">
        <v>9586.03</v>
      </c>
      <c r="D37" s="70">
        <v>398330.29</v>
      </c>
      <c r="E37" s="70">
        <v>8333.37</v>
      </c>
      <c r="F37" s="70">
        <v>389996.92</v>
      </c>
      <c r="G37" s="70">
        <v>407916.32</v>
      </c>
      <c r="H37" s="75"/>
    </row>
    <row r="38" spans="1:8" ht="12.75">
      <c r="A38" s="72">
        <v>10</v>
      </c>
      <c r="B38" s="72">
        <v>2012</v>
      </c>
      <c r="C38" s="70">
        <f>+I17*0.0235</f>
        <v>7526.803720000001</v>
      </c>
      <c r="D38" s="70">
        <f>+I17-7526.8</f>
        <v>312762.72000000003</v>
      </c>
      <c r="E38" s="70">
        <v>8333.33</v>
      </c>
      <c r="F38" s="70">
        <v>304429.39</v>
      </c>
      <c r="G38" s="70">
        <v>320289.52</v>
      </c>
      <c r="H38" s="56"/>
    </row>
    <row r="39" spans="1:7" ht="12.75">
      <c r="A39" s="14"/>
      <c r="B39" s="14"/>
      <c r="C39" s="15">
        <f>SUM(C27:C38)</f>
        <v>148796.03372</v>
      </c>
      <c r="D39" s="15">
        <f>SUM(D27:D38)</f>
        <v>6182949.97</v>
      </c>
      <c r="E39" s="15">
        <f>SUM(E27:E38)</f>
        <v>100000</v>
      </c>
      <c r="F39" s="15">
        <f>SUM(F27:F38)</f>
        <v>6082949.97</v>
      </c>
      <c r="G39" s="15">
        <f>SUM(G27:G38)</f>
        <v>6331746.02</v>
      </c>
    </row>
    <row r="71" spans="1:9" ht="12.75">
      <c r="A71" s="16"/>
      <c r="B71" s="13"/>
      <c r="C71" s="13" t="s">
        <v>40</v>
      </c>
      <c r="D71" s="13"/>
      <c r="E71" s="13"/>
      <c r="F71" s="13"/>
      <c r="G71" s="13"/>
      <c r="H71" s="13"/>
      <c r="I71" s="13"/>
    </row>
    <row r="72" spans="1:9" ht="12.75">
      <c r="A72" s="13" t="s">
        <v>53</v>
      </c>
      <c r="B72" s="13"/>
      <c r="C72" s="13" t="s">
        <v>41</v>
      </c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 t="s">
        <v>26</v>
      </c>
      <c r="D73" s="13">
        <f>+B6</f>
        <v>2011</v>
      </c>
      <c r="E73" s="13" t="s">
        <v>3</v>
      </c>
      <c r="F73" s="13">
        <f>+B6+1</f>
        <v>2012</v>
      </c>
      <c r="G73" s="13"/>
      <c r="H73" s="13"/>
      <c r="I73" s="13"/>
    </row>
    <row r="74" spans="1:9" ht="12.75">
      <c r="A74" s="13" t="s">
        <v>56</v>
      </c>
      <c r="B74" s="13" t="s">
        <v>4</v>
      </c>
      <c r="C74" s="13" t="s">
        <v>19</v>
      </c>
      <c r="D74" s="13" t="s">
        <v>27</v>
      </c>
      <c r="E74" s="13" t="s">
        <v>28</v>
      </c>
      <c r="F74" s="13" t="s">
        <v>21</v>
      </c>
      <c r="G74" s="13" t="s">
        <v>22</v>
      </c>
      <c r="H74" s="13"/>
      <c r="I74" s="13" t="s">
        <v>42</v>
      </c>
    </row>
    <row r="75" spans="1:9" ht="12.75">
      <c r="A75" s="13"/>
      <c r="B75" s="13" t="s">
        <v>15</v>
      </c>
      <c r="C75" s="13"/>
      <c r="D75" s="13"/>
      <c r="E75" s="13"/>
      <c r="F75" s="13"/>
      <c r="G75" s="13" t="s">
        <v>61</v>
      </c>
      <c r="H75" s="13"/>
      <c r="I75" s="13"/>
    </row>
    <row r="76" spans="1:13" ht="12.75">
      <c r="A76">
        <v>1</v>
      </c>
      <c r="B76" t="s">
        <v>70</v>
      </c>
      <c r="C76" s="26">
        <f>+C6+C7+C8</f>
        <v>1524264.94</v>
      </c>
      <c r="D76" s="26">
        <f>+D6+D7+D8</f>
        <v>45727.94</v>
      </c>
      <c r="E76" s="26">
        <f>+E6+E7+E8</f>
        <v>1478537</v>
      </c>
      <c r="F76" s="34">
        <f>(F6+F7+F8)/M76</f>
        <v>0.3239666666666667</v>
      </c>
      <c r="G76">
        <f aca="true" t="shared" si="5" ref="G76:H79">+A76</f>
        <v>1</v>
      </c>
      <c r="H76" t="str">
        <f t="shared" si="5"/>
        <v> 2008-2009</v>
      </c>
      <c r="I76" s="26">
        <f>+I6+I7+I8</f>
        <v>1478537</v>
      </c>
      <c r="M76">
        <f>+M6+M7+M8</f>
        <v>3</v>
      </c>
    </row>
    <row r="77" spans="1:13" ht="12.75">
      <c r="A77">
        <v>2</v>
      </c>
      <c r="B77" t="str">
        <f>+B76</f>
        <v> 2008-2009</v>
      </c>
      <c r="C77" s="26">
        <f>+C9+C10+C11</f>
        <v>1872151.73</v>
      </c>
      <c r="D77" s="26">
        <f>+D9+D10+D11</f>
        <v>56164.55</v>
      </c>
      <c r="E77" s="26">
        <f>+E9+E10+E11</f>
        <v>1815987.1800000002</v>
      </c>
      <c r="F77" s="34">
        <f>(F9+F10+F11)/M77</f>
        <v>0.09793333333333333</v>
      </c>
      <c r="G77">
        <f t="shared" si="5"/>
        <v>2</v>
      </c>
      <c r="H77" t="str">
        <f t="shared" si="5"/>
        <v> 2008-2009</v>
      </c>
      <c r="I77" s="1">
        <f>+I9+I10+I11</f>
        <v>1815987.1800000002</v>
      </c>
      <c r="M77">
        <f>+M9+M10+M11</f>
        <v>3</v>
      </c>
    </row>
    <row r="78" spans="1:13" ht="12.75">
      <c r="A78">
        <v>3</v>
      </c>
      <c r="B78" t="str">
        <f>+B76</f>
        <v> 2008-2009</v>
      </c>
      <c r="C78" s="26">
        <f>+C12+C13+C14</f>
        <v>1890054.8499999999</v>
      </c>
      <c r="D78" s="26">
        <f>+D12+D13+D14</f>
        <v>56701.64</v>
      </c>
      <c r="E78" s="26">
        <f>+E12+E13+E14</f>
        <v>1833353.21</v>
      </c>
      <c r="F78" s="34">
        <f>(F12+F13+F14)/M78</f>
        <v>0.08463333333333334</v>
      </c>
      <c r="G78">
        <f t="shared" si="5"/>
        <v>3</v>
      </c>
      <c r="H78" t="str">
        <f t="shared" si="5"/>
        <v> 2008-2009</v>
      </c>
      <c r="I78" s="26">
        <f>+I12+I13+I14</f>
        <v>1833353.21</v>
      </c>
      <c r="M78">
        <f>+M12+M13+M14</f>
        <v>3</v>
      </c>
    </row>
    <row r="79" spans="1:13" ht="12.75">
      <c r="A79">
        <v>4</v>
      </c>
      <c r="B79" t="str">
        <f>+B76</f>
        <v> 2008-2009</v>
      </c>
      <c r="C79" s="56">
        <f>+C15+C16+C17</f>
        <v>1241101.6800000002</v>
      </c>
      <c r="D79" s="56">
        <f>+D15+D16+D17</f>
        <v>37233.05</v>
      </c>
      <c r="E79" s="56">
        <f>+E15+E16+E17</f>
        <v>1203868.63</v>
      </c>
      <c r="F79" s="34"/>
      <c r="G79">
        <f t="shared" si="5"/>
        <v>4</v>
      </c>
      <c r="H79" t="str">
        <f t="shared" si="5"/>
        <v> 2008-2009</v>
      </c>
      <c r="I79" s="1">
        <f>+I11+I12+I13</f>
        <v>2010256.43</v>
      </c>
      <c r="M79">
        <f>+M15+M16+M17</f>
        <v>3</v>
      </c>
    </row>
    <row r="80" spans="1:9" ht="12.75">
      <c r="A80" s="13" t="s">
        <v>63</v>
      </c>
      <c r="B80" s="13"/>
      <c r="C80" s="38">
        <f>SUM(C76:C79)</f>
        <v>6527573.199999999</v>
      </c>
      <c r="D80" s="38">
        <f>SUM(D76:D79)</f>
        <v>195827.18</v>
      </c>
      <c r="E80" s="38">
        <f>SUM(E76:E79)</f>
        <v>6331746.0200000005</v>
      </c>
      <c r="F80" s="39">
        <f>+F18</f>
        <v>0.13085694882225396</v>
      </c>
      <c r="G80" s="13"/>
      <c r="H80" s="13"/>
      <c r="I80" s="38">
        <f>SUM(I76:I79)</f>
        <v>7138133.82</v>
      </c>
    </row>
    <row r="85" spans="1:7" ht="12.75">
      <c r="A85" s="14"/>
      <c r="B85" s="14"/>
      <c r="C85" s="14" t="s">
        <v>30</v>
      </c>
      <c r="D85" s="14"/>
      <c r="E85" s="14"/>
      <c r="F85" s="14"/>
      <c r="G85" s="14"/>
    </row>
    <row r="86" spans="1:7" ht="12.75">
      <c r="A86" s="14"/>
      <c r="B86" s="14"/>
      <c r="C86" s="14" t="s">
        <v>43</v>
      </c>
      <c r="D86" s="14"/>
      <c r="E86" s="14"/>
      <c r="F86" s="14"/>
      <c r="G86" s="14"/>
    </row>
    <row r="87" spans="1:7" ht="12.75">
      <c r="A87" s="14"/>
      <c r="B87" s="14"/>
      <c r="C87" s="14" t="s">
        <v>32</v>
      </c>
      <c r="D87" s="14">
        <f>+B6</f>
        <v>2011</v>
      </c>
      <c r="E87" s="14" t="s">
        <v>3</v>
      </c>
      <c r="F87" s="14">
        <f>+B6+1</f>
        <v>2012</v>
      </c>
      <c r="G87" s="14"/>
    </row>
    <row r="88" spans="1:7" ht="12.75">
      <c r="A88" s="14" t="s">
        <v>56</v>
      </c>
      <c r="B88" s="14" t="s">
        <v>14</v>
      </c>
      <c r="C88" s="14" t="s">
        <v>34</v>
      </c>
      <c r="D88" s="14" t="s">
        <v>35</v>
      </c>
      <c r="E88" s="14" t="s">
        <v>44</v>
      </c>
      <c r="F88" s="14" t="s">
        <v>36</v>
      </c>
      <c r="G88" s="14" t="s">
        <v>39</v>
      </c>
    </row>
    <row r="89" spans="2:7" ht="12.75">
      <c r="B89" t="s">
        <v>15</v>
      </c>
      <c r="C89" s="27"/>
      <c r="D89" s="27"/>
      <c r="E89" s="27"/>
      <c r="F89" s="27"/>
      <c r="G89" s="27"/>
    </row>
    <row r="90" spans="1:7" ht="12.75">
      <c r="A90">
        <v>1</v>
      </c>
      <c r="B90" t="s">
        <v>70</v>
      </c>
      <c r="C90" s="40">
        <f>+C27+C28+C29</f>
        <v>34745.62</v>
      </c>
      <c r="D90" s="40">
        <f>+D27+D28+D29</f>
        <v>1443791.37</v>
      </c>
      <c r="E90" s="40">
        <f>+E27+E28+E29</f>
        <v>24999.989999999998</v>
      </c>
      <c r="F90" s="40">
        <f>+F27+F28+F29</f>
        <v>1418791.38</v>
      </c>
      <c r="G90" s="40">
        <f>+G27+G28+G29</f>
        <v>1478537</v>
      </c>
    </row>
    <row r="91" spans="1:7" ht="12.75">
      <c r="A91">
        <v>2</v>
      </c>
      <c r="B91" t="str">
        <f>+B90</f>
        <v> 2008-2009</v>
      </c>
      <c r="C91" s="40">
        <f>+C30+C31+C32</f>
        <v>42675.7</v>
      </c>
      <c r="D91" s="40">
        <f>+D30+D31+D32</f>
        <v>1773311.48</v>
      </c>
      <c r="E91" s="40">
        <f>+E30+E31+E32</f>
        <v>24999.989999999998</v>
      </c>
      <c r="F91" s="40">
        <f>+F30+F31+F32</f>
        <v>1748311.49</v>
      </c>
      <c r="G91" s="40">
        <f>+G30+G31+G32</f>
        <v>1815987.1800000002</v>
      </c>
    </row>
    <row r="92" spans="1:7" ht="12.75">
      <c r="A92">
        <v>3</v>
      </c>
      <c r="B92" t="str">
        <f>+B90</f>
        <v> 2008-2009</v>
      </c>
      <c r="C92" s="40">
        <f>+C33+C34+C35</f>
        <v>43083.8</v>
      </c>
      <c r="D92" s="40">
        <f>+D33+D34+D35</f>
        <v>1790269.4</v>
      </c>
      <c r="E92" s="40">
        <f>+E33+E34+E35</f>
        <v>24999.989999999998</v>
      </c>
      <c r="F92" s="40">
        <f>+F33+F34+F35</f>
        <v>1765269.4100000001</v>
      </c>
      <c r="G92" s="40">
        <f>+G33+G34+G35</f>
        <v>1833353.21</v>
      </c>
    </row>
    <row r="93" spans="1:7" ht="12.75">
      <c r="A93">
        <v>4</v>
      </c>
      <c r="B93" t="str">
        <f>+B90</f>
        <v> 2008-2009</v>
      </c>
      <c r="C93" s="40">
        <f>+C36+C37+C38</f>
        <v>28290.91372</v>
      </c>
      <c r="D93" s="40">
        <f>+D36+D37+D38</f>
        <v>1175577.72</v>
      </c>
      <c r="E93" s="40">
        <f>+E36+E37+E38</f>
        <v>25000.03</v>
      </c>
      <c r="F93" s="40">
        <f>+F36+F37+F38</f>
        <v>1150577.69</v>
      </c>
      <c r="G93" s="40">
        <f>+G36+G37+G38</f>
        <v>1203868.63</v>
      </c>
    </row>
    <row r="94" spans="1:7" ht="12.75">
      <c r="A94" s="13" t="s">
        <v>63</v>
      </c>
      <c r="B94" s="13"/>
      <c r="C94" s="38">
        <f>SUM(C90:C93)</f>
        <v>148796.03372</v>
      </c>
      <c r="D94" s="38">
        <f>SUM(D90:D93)</f>
        <v>6182949.97</v>
      </c>
      <c r="E94" s="38">
        <f>SUM(E90:E93)</f>
        <v>100000</v>
      </c>
      <c r="F94" s="38">
        <f>SUM(F90:F93)</f>
        <v>6082949.970000001</v>
      </c>
      <c r="G94" s="38">
        <f>SUM(G90:G93)</f>
        <v>6331746.0200000005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Z6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10.28125" style="0" customWidth="1"/>
    <col min="3" max="3" width="19.140625" style="0" customWidth="1"/>
    <col min="4" max="4" width="13.00390625" style="0" customWidth="1"/>
    <col min="5" max="5" width="14.28125" style="0" customWidth="1"/>
    <col min="8" max="8" width="9.7109375" style="0" customWidth="1"/>
    <col min="9" max="9" width="15.7109375" style="0" customWidth="1"/>
    <col min="10" max="10" width="13.8515625" style="0" customWidth="1"/>
    <col min="17" max="17" width="13.421875" style="0" customWidth="1"/>
    <col min="20" max="20" width="9.57421875" style="0" bestFit="1" customWidth="1"/>
    <col min="21" max="21" width="11.7109375" style="0" customWidth="1"/>
    <col min="22" max="22" width="11.140625" style="0" bestFit="1" customWidth="1"/>
    <col min="24" max="24" width="11.8515625" style="0" customWidth="1"/>
  </cols>
  <sheetData>
    <row r="1" spans="1:20" ht="12.75">
      <c r="A1" s="14"/>
      <c r="B1" s="14"/>
      <c r="C1" s="14" t="s">
        <v>0</v>
      </c>
      <c r="D1" s="14"/>
      <c r="E1" s="14"/>
      <c r="F1" s="14"/>
      <c r="G1" s="14"/>
      <c r="H1" s="14"/>
      <c r="I1" s="14"/>
      <c r="J1" s="14"/>
      <c r="K1" s="14"/>
      <c r="R1">
        <f>+B7-1</f>
        <v>2010</v>
      </c>
      <c r="S1" t="s">
        <v>3</v>
      </c>
      <c r="T1">
        <f>+B7</f>
        <v>2011</v>
      </c>
    </row>
    <row r="2" spans="1:11" ht="12.75">
      <c r="A2" s="14"/>
      <c r="B2" s="14"/>
      <c r="C2" s="14" t="s">
        <v>45</v>
      </c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 t="s">
        <v>46</v>
      </c>
      <c r="D3" s="14"/>
      <c r="E3" s="14"/>
      <c r="F3" s="14"/>
      <c r="G3" s="14"/>
      <c r="H3" s="14"/>
      <c r="I3" s="14" t="s">
        <v>47</v>
      </c>
      <c r="J3" s="14" t="s">
        <v>48</v>
      </c>
      <c r="K3" s="14"/>
    </row>
    <row r="4" spans="1:11" ht="12.75">
      <c r="A4" s="14"/>
      <c r="B4" s="14"/>
      <c r="C4" s="14" t="s">
        <v>17</v>
      </c>
      <c r="D4" s="14"/>
      <c r="E4" s="14">
        <f>+B7</f>
        <v>2011</v>
      </c>
      <c r="F4" s="14" t="s">
        <v>3</v>
      </c>
      <c r="G4" s="14">
        <f>+B7+1</f>
        <v>2012</v>
      </c>
      <c r="H4" s="14"/>
      <c r="I4" s="14"/>
      <c r="J4" s="14"/>
      <c r="K4" s="14"/>
    </row>
    <row r="5" spans="1:11" ht="12.75">
      <c r="A5" s="14"/>
      <c r="B5" s="14"/>
      <c r="C5" s="14"/>
      <c r="D5" s="14"/>
      <c r="E5" s="14"/>
      <c r="F5" s="14" t="s">
        <v>49</v>
      </c>
      <c r="G5" s="14"/>
      <c r="H5" s="14"/>
      <c r="I5" s="14" t="s">
        <v>50</v>
      </c>
      <c r="J5" s="14" t="s">
        <v>23</v>
      </c>
      <c r="K5" s="14"/>
    </row>
    <row r="6" spans="1:11" ht="12.75">
      <c r="A6" s="14" t="s">
        <v>4</v>
      </c>
      <c r="B6" s="14" t="s">
        <v>14</v>
      </c>
      <c r="C6" s="14" t="s">
        <v>19</v>
      </c>
      <c r="D6" s="14" t="s">
        <v>6</v>
      </c>
      <c r="E6" s="14" t="s">
        <v>20</v>
      </c>
      <c r="F6" s="14" t="s">
        <v>8</v>
      </c>
      <c r="G6" s="14" t="s">
        <v>33</v>
      </c>
      <c r="H6" s="14"/>
      <c r="I6" s="14" t="s">
        <v>51</v>
      </c>
      <c r="J6" s="14" t="s">
        <v>52</v>
      </c>
      <c r="K6" s="14"/>
    </row>
    <row r="7" spans="1:26" ht="12.75">
      <c r="A7" s="45">
        <v>10</v>
      </c>
      <c r="B7" s="45">
        <v>2011</v>
      </c>
      <c r="C7" s="47">
        <v>1483518.7</v>
      </c>
      <c r="D7" s="47">
        <v>44505.56</v>
      </c>
      <c r="E7" s="47">
        <v>1439013.14</v>
      </c>
      <c r="F7" s="48" t="s">
        <v>78</v>
      </c>
      <c r="G7" s="45">
        <v>11</v>
      </c>
      <c r="H7" s="45">
        <v>2011</v>
      </c>
      <c r="I7" s="47">
        <v>1223161.17</v>
      </c>
      <c r="J7" s="47">
        <v>215851.97</v>
      </c>
      <c r="N7" s="53">
        <v>0.0557</v>
      </c>
      <c r="P7">
        <f>IF(I7&gt;0,1,0)</f>
        <v>1</v>
      </c>
      <c r="Q7" s="25">
        <f>DATE(B7,A7,1)</f>
        <v>40817</v>
      </c>
      <c r="R7" s="23">
        <f aca="true" t="shared" si="0" ref="R7:R18">IF(E7&gt;0,Q7,"")</f>
        <v>40817</v>
      </c>
      <c r="T7" s="24">
        <f>IF(P7=1,(F7+1),"")</f>
        <v>1.1556</v>
      </c>
      <c r="U7" s="22">
        <f>IF(P7=1,C7/T7,"")</f>
        <v>1283764.8840429215</v>
      </c>
      <c r="V7" s="22"/>
      <c r="X7" s="22">
        <f>IF(P7=1,E7/T7,"")</f>
        <v>1245251.938386985</v>
      </c>
      <c r="Y7" s="22">
        <f>IF(P7=1,X7*0.85,"")</f>
        <v>1058464.1476289374</v>
      </c>
      <c r="Z7" s="22">
        <f>IF(P7=1,X7*0.15,"")</f>
        <v>186787.79075804775</v>
      </c>
    </row>
    <row r="8" spans="1:26" ht="12.75">
      <c r="A8" s="45">
        <v>11</v>
      </c>
      <c r="B8" s="45">
        <v>2011</v>
      </c>
      <c r="C8" s="47">
        <v>1311156.98</v>
      </c>
      <c r="D8" s="47">
        <v>39334.71</v>
      </c>
      <c r="E8" s="47">
        <v>1271822.27</v>
      </c>
      <c r="F8" s="48" t="s">
        <v>82</v>
      </c>
      <c r="G8" s="45">
        <v>12</v>
      </c>
      <c r="H8" s="45">
        <v>2011</v>
      </c>
      <c r="I8" s="47">
        <v>1081048.93</v>
      </c>
      <c r="J8" s="47">
        <v>190773.34</v>
      </c>
      <c r="P8">
        <f aca="true" t="shared" si="1" ref="P8:P18">IF(I8&gt;0,1,0)</f>
        <v>1</v>
      </c>
      <c r="Q8" s="25">
        <f aca="true" t="shared" si="2" ref="Q8:Q18">DATE(B8,A8,1)</f>
        <v>40848</v>
      </c>
      <c r="R8" s="23">
        <f t="shared" si="0"/>
        <v>40848</v>
      </c>
      <c r="T8" s="24">
        <f aca="true" t="shared" si="3" ref="T8:T18">IF(P8=1,(F8+1),"")</f>
        <v>1.0133</v>
      </c>
      <c r="U8" s="22">
        <f aca="true" t="shared" si="4" ref="U8:U18">IF(P8=1,C8/T8,"")</f>
        <v>1293947.478535478</v>
      </c>
      <c r="V8" s="22"/>
      <c r="X8" s="22">
        <f aca="true" t="shared" si="5" ref="X8:X18">IF(P8=1,E8/T8,"")</f>
        <v>1255129.053587289</v>
      </c>
      <c r="Y8" s="22">
        <f aca="true" t="shared" si="6" ref="Y8:Y18">IF(P8=1,X8*0.85,"")</f>
        <v>1066859.6955491956</v>
      </c>
      <c r="Z8" s="22">
        <f aca="true" t="shared" si="7" ref="Z8:Z18">IF(P8=1,X8*0.15,"")</f>
        <v>188269.35803809334</v>
      </c>
    </row>
    <row r="9" spans="1:26" ht="12.75">
      <c r="A9" s="45">
        <v>12</v>
      </c>
      <c r="B9" s="45">
        <v>2011</v>
      </c>
      <c r="C9" s="47">
        <v>1639154.71</v>
      </c>
      <c r="D9" s="47">
        <v>49174.64</v>
      </c>
      <c r="E9" s="47">
        <v>1589980.07</v>
      </c>
      <c r="F9" s="48" t="s">
        <v>86</v>
      </c>
      <c r="G9" s="45">
        <v>1</v>
      </c>
      <c r="H9" s="45">
        <v>2012</v>
      </c>
      <c r="I9" s="47">
        <v>1351483.06</v>
      </c>
      <c r="J9" s="47">
        <v>238497.01</v>
      </c>
      <c r="P9">
        <f t="shared" si="1"/>
        <v>1</v>
      </c>
      <c r="Q9" s="25">
        <f t="shared" si="2"/>
        <v>40878</v>
      </c>
      <c r="R9" s="23">
        <f t="shared" si="0"/>
        <v>40878</v>
      </c>
      <c r="T9" s="24">
        <f t="shared" si="3"/>
        <v>1.1677</v>
      </c>
      <c r="U9" s="22">
        <f t="shared" si="4"/>
        <v>1403746.4331592019</v>
      </c>
      <c r="V9" s="22"/>
      <c r="X9" s="22">
        <f t="shared" si="5"/>
        <v>1361634.0412777255</v>
      </c>
      <c r="Y9" s="22">
        <f t="shared" si="6"/>
        <v>1157388.9350860666</v>
      </c>
      <c r="Z9" s="22">
        <f t="shared" si="7"/>
        <v>204245.10619165882</v>
      </c>
    </row>
    <row r="10" spans="1:26" ht="12.75">
      <c r="A10" s="45">
        <v>1</v>
      </c>
      <c r="B10" s="45">
        <v>2012</v>
      </c>
      <c r="C10" s="47">
        <v>1689419.25</v>
      </c>
      <c r="D10" s="47">
        <v>50682.58</v>
      </c>
      <c r="E10" s="47">
        <v>1638736.67</v>
      </c>
      <c r="F10" s="48" t="s">
        <v>90</v>
      </c>
      <c r="G10" s="45">
        <v>2</v>
      </c>
      <c r="H10" s="45">
        <v>2012</v>
      </c>
      <c r="I10" s="47">
        <v>1392926.17</v>
      </c>
      <c r="J10" s="47">
        <v>245810.5</v>
      </c>
      <c r="P10">
        <f t="shared" si="1"/>
        <v>1</v>
      </c>
      <c r="Q10" s="25">
        <f t="shared" si="2"/>
        <v>40909</v>
      </c>
      <c r="R10" s="23">
        <f t="shared" si="0"/>
        <v>40909</v>
      </c>
      <c r="T10" s="24">
        <f t="shared" si="3"/>
        <v>1.1108</v>
      </c>
      <c r="U10" s="22">
        <f t="shared" si="4"/>
        <v>1520903.1778898092</v>
      </c>
      <c r="V10" s="22"/>
      <c r="X10" s="22">
        <f t="shared" si="5"/>
        <v>1475276.0803024846</v>
      </c>
      <c r="Y10" s="22">
        <f t="shared" si="6"/>
        <v>1253984.668257112</v>
      </c>
      <c r="Z10" s="22">
        <f t="shared" si="7"/>
        <v>221291.41204537268</v>
      </c>
    </row>
    <row r="11" spans="1:26" ht="12.75">
      <c r="A11" s="45">
        <v>2</v>
      </c>
      <c r="B11" s="45">
        <v>2012</v>
      </c>
      <c r="C11" s="47">
        <v>1706597.16</v>
      </c>
      <c r="D11" s="47">
        <v>51197.91</v>
      </c>
      <c r="E11" s="47">
        <v>1655399.25</v>
      </c>
      <c r="F11" s="48" t="s">
        <v>95</v>
      </c>
      <c r="G11" s="45">
        <v>3</v>
      </c>
      <c r="H11" s="45">
        <v>2012</v>
      </c>
      <c r="I11" s="47">
        <v>1407089.36</v>
      </c>
      <c r="J11" s="47">
        <v>248309.89</v>
      </c>
      <c r="P11">
        <f t="shared" si="1"/>
        <v>1</v>
      </c>
      <c r="Q11" s="25">
        <f t="shared" si="2"/>
        <v>40940</v>
      </c>
      <c r="R11" s="23">
        <f t="shared" si="0"/>
        <v>40940</v>
      </c>
      <c r="T11" s="24">
        <f t="shared" si="3"/>
        <v>1.2259</v>
      </c>
      <c r="U11" s="22">
        <f t="shared" si="4"/>
        <v>1392117.7583815972</v>
      </c>
      <c r="V11" s="22"/>
      <c r="X11" s="22">
        <f t="shared" si="5"/>
        <v>1350354.22954564</v>
      </c>
      <c r="Y11" s="22">
        <f t="shared" si="6"/>
        <v>1147801.095113794</v>
      </c>
      <c r="Z11" s="22">
        <f t="shared" si="7"/>
        <v>202553.134431846</v>
      </c>
    </row>
    <row r="12" spans="1:26" ht="12.75">
      <c r="A12" s="45">
        <v>3</v>
      </c>
      <c r="B12" s="45">
        <v>2012</v>
      </c>
      <c r="C12" s="47">
        <v>1619360.7</v>
      </c>
      <c r="D12" s="47">
        <v>48580.82</v>
      </c>
      <c r="E12" s="47">
        <v>1570779.88</v>
      </c>
      <c r="F12" s="48" t="s">
        <v>99</v>
      </c>
      <c r="G12" s="45">
        <v>4</v>
      </c>
      <c r="H12" s="45">
        <v>2012</v>
      </c>
      <c r="I12" s="47">
        <v>1335162.9</v>
      </c>
      <c r="J12" s="47">
        <v>235616.98</v>
      </c>
      <c r="P12">
        <f t="shared" si="1"/>
        <v>1</v>
      </c>
      <c r="Q12" s="25">
        <f t="shared" si="2"/>
        <v>40969</v>
      </c>
      <c r="R12" s="23">
        <f t="shared" si="0"/>
        <v>40969</v>
      </c>
      <c r="T12" s="24">
        <f t="shared" si="3"/>
        <v>1.0295</v>
      </c>
      <c r="U12" s="22">
        <f t="shared" si="4"/>
        <v>1572958.4264205922</v>
      </c>
      <c r="V12" s="22"/>
      <c r="X12" s="22">
        <f t="shared" si="5"/>
        <v>1525769.67459932</v>
      </c>
      <c r="Y12" s="22">
        <f t="shared" si="6"/>
        <v>1296904.223409422</v>
      </c>
      <c r="Z12" s="22">
        <f t="shared" si="7"/>
        <v>228865.45118989798</v>
      </c>
    </row>
    <row r="13" spans="1:26" ht="12.75">
      <c r="A13" s="45">
        <v>4</v>
      </c>
      <c r="B13" s="45">
        <v>2012</v>
      </c>
      <c r="C13" s="47">
        <v>1786833.97</v>
      </c>
      <c r="D13" s="47">
        <v>53605.02</v>
      </c>
      <c r="E13" s="47">
        <v>1733228.95</v>
      </c>
      <c r="F13" s="48" t="s">
        <v>103</v>
      </c>
      <c r="G13" s="45">
        <v>5</v>
      </c>
      <c r="H13" s="45">
        <v>2012</v>
      </c>
      <c r="I13" s="47">
        <v>1473244.61</v>
      </c>
      <c r="J13" s="47">
        <v>259984.34</v>
      </c>
      <c r="P13">
        <f t="shared" si="1"/>
        <v>1</v>
      </c>
      <c r="Q13" s="25">
        <f t="shared" si="2"/>
        <v>41000</v>
      </c>
      <c r="R13" s="23">
        <f t="shared" si="0"/>
        <v>41000</v>
      </c>
      <c r="T13" s="24">
        <f t="shared" si="3"/>
        <v>1.1126</v>
      </c>
      <c r="U13" s="22">
        <f t="shared" si="4"/>
        <v>1605998.5349631493</v>
      </c>
      <c r="V13" s="22">
        <f aca="true" t="shared" si="8" ref="V13:V18">IF(P13=1,U13*0.85,"")</f>
        <v>1365098.754718677</v>
      </c>
      <c r="X13" s="22">
        <f t="shared" si="5"/>
        <v>1557818.5781053388</v>
      </c>
      <c r="Y13" s="22">
        <f t="shared" si="6"/>
        <v>1324145.791389538</v>
      </c>
      <c r="Z13" s="22">
        <f t="shared" si="7"/>
        <v>233672.78671580082</v>
      </c>
    </row>
    <row r="14" spans="1:26" ht="12.75">
      <c r="A14" s="45">
        <v>5</v>
      </c>
      <c r="B14" s="45">
        <v>2012</v>
      </c>
      <c r="C14" s="47">
        <v>1720471.34</v>
      </c>
      <c r="D14" s="47">
        <v>51614.14</v>
      </c>
      <c r="E14" s="47">
        <v>1668857.2</v>
      </c>
      <c r="F14" s="48" t="s">
        <v>107</v>
      </c>
      <c r="G14" s="45">
        <v>6</v>
      </c>
      <c r="H14" s="45">
        <v>2012</v>
      </c>
      <c r="I14" s="47">
        <v>1418528.62</v>
      </c>
      <c r="J14" s="47">
        <v>250328.58</v>
      </c>
      <c r="P14">
        <f t="shared" si="1"/>
        <v>1</v>
      </c>
      <c r="Q14" s="25">
        <f t="shared" si="2"/>
        <v>41030</v>
      </c>
      <c r="R14" s="23">
        <f t="shared" si="0"/>
        <v>41030</v>
      </c>
      <c r="T14" s="24">
        <f t="shared" si="3"/>
        <v>1.1</v>
      </c>
      <c r="U14" s="22">
        <f t="shared" si="4"/>
        <v>1564064.8545454545</v>
      </c>
      <c r="V14" s="22">
        <f t="shared" si="8"/>
        <v>1329455.1263636362</v>
      </c>
      <c r="X14" s="22">
        <f t="shared" si="5"/>
        <v>1517142.909090909</v>
      </c>
      <c r="Y14" s="22">
        <f t="shared" si="6"/>
        <v>1289571.4727272727</v>
      </c>
      <c r="Z14" s="22">
        <f t="shared" si="7"/>
        <v>227571.43636363634</v>
      </c>
    </row>
    <row r="15" spans="1:26" ht="12.75">
      <c r="A15" s="45">
        <v>6</v>
      </c>
      <c r="B15" s="45">
        <v>2012</v>
      </c>
      <c r="C15" s="47">
        <v>1651237.76</v>
      </c>
      <c r="D15" s="47">
        <v>49537.13</v>
      </c>
      <c r="E15" s="47">
        <v>1601700.63</v>
      </c>
      <c r="F15" s="48" t="s">
        <v>111</v>
      </c>
      <c r="G15" s="45">
        <v>7</v>
      </c>
      <c r="H15" s="45">
        <v>2012</v>
      </c>
      <c r="I15" s="47">
        <v>1361445.53</v>
      </c>
      <c r="J15" s="47">
        <v>240255.09</v>
      </c>
      <c r="P15">
        <f t="shared" si="1"/>
        <v>1</v>
      </c>
      <c r="Q15" s="25">
        <f t="shared" si="2"/>
        <v>41061</v>
      </c>
      <c r="R15" s="23">
        <f t="shared" si="0"/>
        <v>41061</v>
      </c>
      <c r="T15" s="24">
        <f t="shared" si="3"/>
        <v>1.0252</v>
      </c>
      <c r="U15" s="22">
        <f t="shared" si="4"/>
        <v>1610649.3952399534</v>
      </c>
      <c r="V15" s="22">
        <f t="shared" si="8"/>
        <v>1369051.9859539603</v>
      </c>
      <c r="X15" s="22">
        <f t="shared" si="5"/>
        <v>1562329.9161139291</v>
      </c>
      <c r="Y15" s="22">
        <f t="shared" si="6"/>
        <v>1327980.4286968398</v>
      </c>
      <c r="Z15" s="22">
        <f t="shared" si="7"/>
        <v>234349.48741708937</v>
      </c>
    </row>
    <row r="16" spans="1:26" ht="12.75">
      <c r="A16" s="45">
        <v>7</v>
      </c>
      <c r="B16" s="45">
        <v>2012</v>
      </c>
      <c r="C16" s="47">
        <v>1645374.53</v>
      </c>
      <c r="D16" s="47">
        <v>49361.24</v>
      </c>
      <c r="E16" s="47">
        <v>1596013.29</v>
      </c>
      <c r="F16" s="48" t="s">
        <v>115</v>
      </c>
      <c r="G16" s="45">
        <v>8</v>
      </c>
      <c r="H16" s="45">
        <v>2012</v>
      </c>
      <c r="I16" s="47">
        <v>1356611.3</v>
      </c>
      <c r="J16" s="47">
        <v>239401.99</v>
      </c>
      <c r="P16">
        <f t="shared" si="1"/>
        <v>1</v>
      </c>
      <c r="Q16" s="25">
        <f t="shared" si="2"/>
        <v>41091</v>
      </c>
      <c r="R16" s="23">
        <f t="shared" si="0"/>
        <v>41091</v>
      </c>
      <c r="T16" s="24">
        <f t="shared" si="3"/>
        <v>1.127</v>
      </c>
      <c r="U16" s="22">
        <f t="shared" si="4"/>
        <v>1459959.653948536</v>
      </c>
      <c r="V16" s="22">
        <f t="shared" si="8"/>
        <v>1240965.7058562555</v>
      </c>
      <c r="X16" s="22">
        <f t="shared" si="5"/>
        <v>1416160.860692103</v>
      </c>
      <c r="Y16" s="22">
        <f t="shared" si="6"/>
        <v>1203736.7315882875</v>
      </c>
      <c r="Z16" s="22">
        <f t="shared" si="7"/>
        <v>212424.12910381544</v>
      </c>
    </row>
    <row r="17" spans="1:26" ht="12.75">
      <c r="A17" s="72">
        <v>8</v>
      </c>
      <c r="B17" s="72">
        <v>2012</v>
      </c>
      <c r="C17" s="70">
        <v>1632651.97</v>
      </c>
      <c r="D17" s="70">
        <v>48979.56</v>
      </c>
      <c r="E17" s="70">
        <v>1583672.41</v>
      </c>
      <c r="F17" s="71" t="s">
        <v>119</v>
      </c>
      <c r="G17" s="72">
        <v>9</v>
      </c>
      <c r="H17" s="72">
        <v>2012</v>
      </c>
      <c r="I17" s="70">
        <v>1346121.55</v>
      </c>
      <c r="J17" s="70">
        <v>237550.86</v>
      </c>
      <c r="P17">
        <f t="shared" si="1"/>
        <v>1</v>
      </c>
      <c r="Q17" s="25">
        <f t="shared" si="2"/>
        <v>41122</v>
      </c>
      <c r="R17" s="23">
        <f t="shared" si="0"/>
        <v>41122</v>
      </c>
      <c r="T17" s="24">
        <f t="shared" si="3"/>
        <v>1.0422</v>
      </c>
      <c r="U17" s="22">
        <f t="shared" si="4"/>
        <v>1566543.8207637689</v>
      </c>
      <c r="V17" s="22">
        <f t="shared" si="8"/>
        <v>1331562.2476492035</v>
      </c>
      <c r="X17" s="22">
        <f t="shared" si="5"/>
        <v>1519547.505277298</v>
      </c>
      <c r="Y17" s="22">
        <f t="shared" si="6"/>
        <v>1291615.3794857033</v>
      </c>
      <c r="Z17" s="22">
        <f t="shared" si="7"/>
        <v>227932.12579159468</v>
      </c>
    </row>
    <row r="18" spans="1:26" ht="12.75">
      <c r="A18" s="61">
        <v>9</v>
      </c>
      <c r="B18" s="62">
        <v>2012</v>
      </c>
      <c r="C18" s="47">
        <v>1410609.38</v>
      </c>
      <c r="D18" s="47">
        <v>42318.28</v>
      </c>
      <c r="E18" s="47">
        <v>1368291.1</v>
      </c>
      <c r="F18" s="48">
        <v>-0.0009</v>
      </c>
      <c r="G18" s="45">
        <v>10</v>
      </c>
      <c r="H18" s="62">
        <v>2012</v>
      </c>
      <c r="I18" s="47">
        <v>1163047.43</v>
      </c>
      <c r="J18" s="47">
        <v>205243.66</v>
      </c>
      <c r="P18">
        <f t="shared" si="1"/>
        <v>1</v>
      </c>
      <c r="Q18" s="25">
        <f t="shared" si="2"/>
        <v>41153</v>
      </c>
      <c r="R18" s="23">
        <f t="shared" si="0"/>
        <v>41153</v>
      </c>
      <c r="T18" s="24">
        <f t="shared" si="3"/>
        <v>0.9991</v>
      </c>
      <c r="U18" s="22">
        <f t="shared" si="4"/>
        <v>1411880.0720648582</v>
      </c>
      <c r="V18" s="22">
        <f t="shared" si="8"/>
        <v>1200098.0612551295</v>
      </c>
      <c r="X18" s="22">
        <f t="shared" si="5"/>
        <v>1369523.6713041738</v>
      </c>
      <c r="Y18" s="22">
        <f t="shared" si="6"/>
        <v>1164095.1206085477</v>
      </c>
      <c r="Z18" s="22">
        <f t="shared" si="7"/>
        <v>205428.55069562607</v>
      </c>
    </row>
    <row r="19" spans="1:24" ht="12.75">
      <c r="A19" s="14"/>
      <c r="B19" s="14"/>
      <c r="C19" s="15">
        <f>SUM(C7:C18)</f>
        <v>19296386.45</v>
      </c>
      <c r="D19" s="15">
        <f>SUM(D7:D18)</f>
        <v>578891.5900000001</v>
      </c>
      <c r="E19" s="15">
        <f>SUM(E7:E18)</f>
        <v>18717494.86</v>
      </c>
      <c r="F19" s="20">
        <f>(C19/U19)-1</f>
        <v>0.0910213338265311</v>
      </c>
      <c r="G19" s="14"/>
      <c r="H19" s="14"/>
      <c r="I19" s="15">
        <f>SUM(I7:I18)</f>
        <v>15909870.63</v>
      </c>
      <c r="J19" s="15">
        <f>SUM(J7:J18)</f>
        <v>2807624.2100000004</v>
      </c>
      <c r="K19" s="14"/>
      <c r="P19">
        <f>SUM(P7:P18)</f>
        <v>12</v>
      </c>
      <c r="R19" s="2">
        <f>(F7+F8+F9+F10+F11+F12+F13+F14+F15+F16+F17+F18)/P19</f>
        <v>0.09240833333333336</v>
      </c>
      <c r="U19" s="22">
        <f>SUM(U7:U18)</f>
        <v>17686534.48995532</v>
      </c>
      <c r="X19" s="22">
        <f>IF(P19=1,F19/W19,"")</f>
      </c>
    </row>
    <row r="51" spans="1:11" ht="12.75">
      <c r="A51" s="14"/>
      <c r="B51" s="14"/>
      <c r="C51" s="14" t="s">
        <v>0</v>
      </c>
      <c r="D51" s="14"/>
      <c r="E51" s="14"/>
      <c r="F51" s="14"/>
      <c r="G51" s="14"/>
      <c r="H51" s="14"/>
      <c r="I51" s="14"/>
      <c r="J51" s="14"/>
      <c r="K51" s="14"/>
    </row>
    <row r="52" spans="1:11" ht="12.75">
      <c r="A52" s="14"/>
      <c r="B52" s="14"/>
      <c r="C52" s="14" t="s">
        <v>45</v>
      </c>
      <c r="D52" s="14"/>
      <c r="E52" s="14"/>
      <c r="F52" s="14"/>
      <c r="G52" s="14"/>
      <c r="H52" s="14"/>
      <c r="I52" s="14"/>
      <c r="J52" s="14"/>
      <c r="K52" s="14"/>
    </row>
    <row r="53" spans="1:11" ht="12.75">
      <c r="A53" s="14"/>
      <c r="B53" s="14"/>
      <c r="C53" s="14" t="s">
        <v>46</v>
      </c>
      <c r="D53" s="14"/>
      <c r="E53" s="14"/>
      <c r="F53" s="14"/>
      <c r="G53" s="14"/>
      <c r="H53" s="14"/>
      <c r="I53" s="14" t="s">
        <v>47</v>
      </c>
      <c r="J53" s="14" t="s">
        <v>48</v>
      </c>
      <c r="K53" s="14"/>
    </row>
    <row r="54" spans="1:11" ht="12.75">
      <c r="A54" s="14"/>
      <c r="B54" s="14"/>
      <c r="C54" s="14" t="s">
        <v>17</v>
      </c>
      <c r="D54" s="14"/>
      <c r="E54" s="14">
        <f>+E4</f>
        <v>2011</v>
      </c>
      <c r="F54" s="14" t="s">
        <v>3</v>
      </c>
      <c r="G54" s="14">
        <f>+E4+1</f>
        <v>2012</v>
      </c>
      <c r="H54" s="14"/>
      <c r="I54" s="14"/>
      <c r="J54" s="14"/>
      <c r="K54" s="14"/>
    </row>
    <row r="55" spans="1:11" ht="12.75">
      <c r="A55" s="14"/>
      <c r="B55" s="14"/>
      <c r="C55" s="14"/>
      <c r="D55" s="14"/>
      <c r="E55" s="14"/>
      <c r="F55" s="14" t="s">
        <v>49</v>
      </c>
      <c r="G55" s="14"/>
      <c r="H55" s="14"/>
      <c r="I55" s="14" t="s">
        <v>50</v>
      </c>
      <c r="J55" s="14" t="s">
        <v>23</v>
      </c>
      <c r="K55" s="14"/>
    </row>
    <row r="56" spans="1:11" ht="12.75">
      <c r="A56" s="14" t="s">
        <v>56</v>
      </c>
      <c r="B56" s="14" t="s">
        <v>15</v>
      </c>
      <c r="C56" s="14" t="s">
        <v>19</v>
      </c>
      <c r="D56" s="14" t="s">
        <v>6</v>
      </c>
      <c r="E56" s="14" t="s">
        <v>20</v>
      </c>
      <c r="F56" s="14" t="s">
        <v>8</v>
      </c>
      <c r="G56" s="14" t="s">
        <v>61</v>
      </c>
      <c r="H56" s="14" t="s">
        <v>15</v>
      </c>
      <c r="I56" s="14" t="s">
        <v>51</v>
      </c>
      <c r="J56" s="14" t="s">
        <v>52</v>
      </c>
      <c r="K56" s="14"/>
    </row>
    <row r="57" spans="1:16" ht="12.75">
      <c r="A57">
        <v>1</v>
      </c>
      <c r="B57" t="s">
        <v>69</v>
      </c>
      <c r="C57" s="26">
        <f>+C7+C8+C9</f>
        <v>4433830.39</v>
      </c>
      <c r="D57" s="26">
        <f>+D7+D8+D9</f>
        <v>133014.90999999997</v>
      </c>
      <c r="E57" s="26">
        <f>+E7+E8+E9</f>
        <v>4300815.48</v>
      </c>
      <c r="F57" s="34">
        <f>(F7+F8+F9)/P57</f>
        <v>0.11220000000000001</v>
      </c>
      <c r="G57">
        <f aca="true" t="shared" si="9" ref="G57:H60">+A57</f>
        <v>1</v>
      </c>
      <c r="H57" s="41" t="str">
        <f t="shared" si="9"/>
        <v>2008-2009</v>
      </c>
      <c r="I57" s="26">
        <f>+I7+I8+I9</f>
        <v>3655693.1599999997</v>
      </c>
      <c r="J57" s="26">
        <f>+J7+J8+J9</f>
        <v>645122.3200000001</v>
      </c>
      <c r="P57" s="43">
        <f>+P7+P8+P9</f>
        <v>3</v>
      </c>
    </row>
    <row r="58" spans="1:16" ht="12.75">
      <c r="A58">
        <v>2</v>
      </c>
      <c r="B58" t="str">
        <f>+B57</f>
        <v>2008-2009</v>
      </c>
      <c r="C58" s="26">
        <f>+C10+C11+C12</f>
        <v>5015377.11</v>
      </c>
      <c r="D58" s="26">
        <f>+D10+D11+D12</f>
        <v>150461.31</v>
      </c>
      <c r="E58" s="26">
        <f>+E10+E11+E12</f>
        <v>4864915.8</v>
      </c>
      <c r="F58" s="34">
        <f>(F10+F11+F12)/P58</f>
        <v>0.12206666666666666</v>
      </c>
      <c r="G58">
        <f t="shared" si="9"/>
        <v>2</v>
      </c>
      <c r="H58" s="41" t="str">
        <f t="shared" si="9"/>
        <v>2008-2009</v>
      </c>
      <c r="I58" s="26">
        <f>+I10+I11+I12</f>
        <v>4135178.43</v>
      </c>
      <c r="J58" s="26">
        <f>+J10+J11+J12</f>
        <v>729737.37</v>
      </c>
      <c r="P58" s="43">
        <f>+P10+P11+P12</f>
        <v>3</v>
      </c>
    </row>
    <row r="59" spans="1:16" ht="12.75">
      <c r="A59">
        <v>3</v>
      </c>
      <c r="B59" t="str">
        <f>+B57</f>
        <v>2008-2009</v>
      </c>
      <c r="C59" s="26">
        <f>+C13+C14+C15</f>
        <v>5158543.07</v>
      </c>
      <c r="D59" s="26">
        <f>+D13+D14+D15</f>
        <v>154756.29</v>
      </c>
      <c r="E59" s="26">
        <f>+E13+E14+E15</f>
        <v>5003786.779999999</v>
      </c>
      <c r="F59" s="34">
        <f>(F13+F14+F15)/P59</f>
        <v>0.07926666666666667</v>
      </c>
      <c r="G59">
        <f t="shared" si="9"/>
        <v>3</v>
      </c>
      <c r="H59" s="41" t="str">
        <f t="shared" si="9"/>
        <v>2008-2009</v>
      </c>
      <c r="I59" s="26">
        <f>+I13+I14+I15</f>
        <v>4253218.760000001</v>
      </c>
      <c r="J59" s="26">
        <f>+J13+J14+J15</f>
        <v>750568.01</v>
      </c>
      <c r="P59" s="43">
        <f>+P13+P14+P15</f>
        <v>3</v>
      </c>
    </row>
    <row r="60" spans="1:16" ht="12.75">
      <c r="A60">
        <v>4</v>
      </c>
      <c r="B60" t="str">
        <f>+B57</f>
        <v>2008-2009</v>
      </c>
      <c r="C60" s="26">
        <f>+C16+C17+C18</f>
        <v>4688635.88</v>
      </c>
      <c r="D60" s="26">
        <f>+D16+D17+D18</f>
        <v>140659.08</v>
      </c>
      <c r="E60" s="26">
        <f>+E16+E17+E18</f>
        <v>4547976.800000001</v>
      </c>
      <c r="F60" s="34">
        <f>(F16+F17+F18)/P60</f>
        <v>0.056100000000000004</v>
      </c>
      <c r="G60">
        <f t="shared" si="9"/>
        <v>4</v>
      </c>
      <c r="H60" s="41" t="str">
        <f t="shared" si="9"/>
        <v>2008-2009</v>
      </c>
      <c r="I60" s="26">
        <f>+I16+I17+I18</f>
        <v>3865780.2800000003</v>
      </c>
      <c r="J60" s="26">
        <f>+J16+J17+J18</f>
        <v>682196.51</v>
      </c>
      <c r="P60" s="43">
        <f>+P16+P17+P18</f>
        <v>3</v>
      </c>
    </row>
    <row r="61" spans="1:10" ht="12.75">
      <c r="A61" s="14" t="s">
        <v>54</v>
      </c>
      <c r="B61" s="14"/>
      <c r="C61" s="42">
        <f>SUM(C57:C60)</f>
        <v>19296386.45</v>
      </c>
      <c r="D61" s="42">
        <f>SUM(D57:D60)</f>
        <v>578891.59</v>
      </c>
      <c r="E61" s="42">
        <f>SUM(E57:E60)</f>
        <v>18717494.86</v>
      </c>
      <c r="F61" s="20">
        <f>+F19</f>
        <v>0.0910213338265311</v>
      </c>
      <c r="G61" s="14"/>
      <c r="H61" s="14"/>
      <c r="I61" s="42">
        <f>SUM(I57:I60)</f>
        <v>15909870.630000003</v>
      </c>
      <c r="J61" s="42">
        <f>SUM(J57:J60)</f>
        <v>2807624.21</v>
      </c>
    </row>
  </sheetData>
  <sheetProtection/>
  <printOptions horizontalCentered="1" verticalCentered="1"/>
  <pageMargins left="0.75" right="0.75" top="1" bottom="1" header="0.5" footer="0.5"/>
  <pageSetup fitToHeight="0" fitToWidth="1" horizontalDpi="300" verticalDpi="300" orientation="landscape" scale="9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1" sqref="E11:G18"/>
    </sheetView>
  </sheetViews>
  <sheetFormatPr defaultColWidth="9.140625" defaultRowHeight="12.75"/>
  <cols>
    <col min="1" max="1" width="9.00390625" style="0" customWidth="1"/>
    <col min="3" max="3" width="42.8515625" style="0" customWidth="1"/>
    <col min="5" max="5" width="10.140625" style="0" bestFit="1" customWidth="1"/>
    <col min="6" max="6" width="12.8515625" style="0" customWidth="1"/>
    <col min="7" max="7" width="11.7109375" style="0" customWidth="1"/>
  </cols>
  <sheetData>
    <row r="1" spans="1:3" ht="12.75">
      <c r="A1" s="14"/>
      <c r="B1" s="14"/>
      <c r="C1" s="14" t="s">
        <v>72</v>
      </c>
    </row>
    <row r="2" spans="1:3" ht="12.75">
      <c r="A2" s="14"/>
      <c r="B2" s="14"/>
      <c r="C2" s="14" t="s">
        <v>73</v>
      </c>
    </row>
    <row r="3" spans="1:3" ht="12.75">
      <c r="A3" s="14"/>
      <c r="B3" s="14"/>
      <c r="C3" s="14"/>
    </row>
    <row r="4" spans="1:3" ht="12.75">
      <c r="A4" s="14"/>
      <c r="B4" s="14"/>
      <c r="C4" s="14" t="s">
        <v>74</v>
      </c>
    </row>
    <row r="5" spans="1:3" ht="12.75">
      <c r="A5" s="14"/>
      <c r="B5" s="14"/>
      <c r="C5" s="14" t="str">
        <f>+B7&amp;"-"&amp;B7+1</f>
        <v>2011-2012</v>
      </c>
    </row>
    <row r="6" spans="1:3" ht="12.75">
      <c r="A6" s="14" t="s">
        <v>4</v>
      </c>
      <c r="B6" s="14" t="s">
        <v>14</v>
      </c>
      <c r="C6" s="14" t="s">
        <v>19</v>
      </c>
    </row>
    <row r="7" spans="1:3" ht="12.75">
      <c r="A7" s="45">
        <v>10</v>
      </c>
      <c r="B7" s="45">
        <v>2011</v>
      </c>
      <c r="C7" s="47">
        <v>190086.54</v>
      </c>
    </row>
    <row r="8" spans="1:3" ht="12.75">
      <c r="A8" s="45">
        <v>11</v>
      </c>
      <c r="B8" s="45">
        <v>2011</v>
      </c>
      <c r="C8" s="47">
        <v>193565.25</v>
      </c>
    </row>
    <row r="9" spans="1:3" ht="12.75">
      <c r="A9" s="45">
        <v>12</v>
      </c>
      <c r="B9" s="45">
        <v>2011</v>
      </c>
      <c r="C9" s="47">
        <v>190980.21</v>
      </c>
    </row>
    <row r="10" spans="1:3" ht="12.75">
      <c r="A10" s="45">
        <v>1</v>
      </c>
      <c r="B10" s="45">
        <v>2012</v>
      </c>
      <c r="C10" s="47">
        <v>191147.81</v>
      </c>
    </row>
    <row r="11" spans="1:5" ht="12.75">
      <c r="A11" s="45">
        <v>2</v>
      </c>
      <c r="B11" s="45">
        <v>2012</v>
      </c>
      <c r="C11" s="47">
        <v>208608.95</v>
      </c>
      <c r="E11" s="26"/>
    </row>
    <row r="12" spans="1:3" ht="12.75">
      <c r="A12" s="45">
        <v>3</v>
      </c>
      <c r="B12" s="45">
        <v>2012</v>
      </c>
      <c r="C12" s="47">
        <v>198356.95</v>
      </c>
    </row>
    <row r="13" spans="1:3" ht="12.75">
      <c r="A13" s="45">
        <v>4</v>
      </c>
      <c r="B13" s="45">
        <v>2012</v>
      </c>
      <c r="C13" s="47">
        <v>224303.68</v>
      </c>
    </row>
    <row r="14" spans="1:3" ht="12.75">
      <c r="A14" s="45">
        <v>5</v>
      </c>
      <c r="B14" s="45">
        <v>2012</v>
      </c>
      <c r="C14" s="47">
        <v>191884.96000000002</v>
      </c>
    </row>
    <row r="15" spans="1:3" ht="12.75">
      <c r="A15" s="45">
        <v>6</v>
      </c>
      <c r="B15" s="45">
        <v>2012</v>
      </c>
      <c r="C15" s="47">
        <v>307086.87</v>
      </c>
    </row>
    <row r="16" spans="1:7" ht="12.75">
      <c r="A16" s="45">
        <v>7</v>
      </c>
      <c r="B16" s="45">
        <v>2012</v>
      </c>
      <c r="C16" s="47">
        <v>261614.69</v>
      </c>
      <c r="E16" s="26"/>
      <c r="F16" s="26"/>
      <c r="G16" s="26"/>
    </row>
    <row r="17" spans="1:7" ht="12.75">
      <c r="A17" s="45">
        <v>8</v>
      </c>
      <c r="B17" s="45">
        <v>2012</v>
      </c>
      <c r="C17" s="47">
        <v>234928.86999999997</v>
      </c>
      <c r="E17" s="26"/>
      <c r="F17" s="26"/>
      <c r="G17" s="26"/>
    </row>
    <row r="18" spans="1:3" ht="12.75">
      <c r="A18" s="45">
        <v>9</v>
      </c>
      <c r="B18" s="45">
        <v>2012</v>
      </c>
      <c r="C18" s="47">
        <v>247938.75</v>
      </c>
    </row>
    <row r="19" spans="1:3" ht="12.75">
      <c r="A19" s="14"/>
      <c r="B19" s="14"/>
      <c r="C19" s="15">
        <f>SUM(C7:C18)</f>
        <v>2640503.53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allen eagle</cp:lastModifiedBy>
  <cp:lastPrinted>2012-02-07T16:38:11Z</cp:lastPrinted>
  <dcterms:created xsi:type="dcterms:W3CDTF">1996-10-14T23:33:28Z</dcterms:created>
  <dcterms:modified xsi:type="dcterms:W3CDTF">2014-10-02T21:34:38Z</dcterms:modified>
  <cp:category/>
  <cp:version/>
  <cp:contentType/>
  <cp:contentStatus/>
</cp:coreProperties>
</file>