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360" windowWidth="13440" windowHeight="6495" tabRatio="941" activeTab="5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SlotMachineTable" sheetId="5" r:id="rId5"/>
    <sheet name="HomelessTaxTable" sheetId="6" r:id="rId6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#REF!</definedName>
    <definedName name="_xlnm.Print_Area" localSheetId="0">'ConventionTaxTable'!$A$51:$L$60</definedName>
    <definedName name="_xlnm.Print_Area" localSheetId="3">'FoodandBeverageTaxTable'!$A$85:$G$94</definedName>
    <definedName name="_xlnm.Print_Area" localSheetId="5">'HomelessTaxTable'!$E$6:$E$18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#REF!</definedName>
  </definedNames>
  <calcPr fullCalcOnLoad="1"/>
</workbook>
</file>

<file path=xl/sharedStrings.xml><?xml version="1.0" encoding="utf-8"?>
<sst xmlns="http://schemas.openxmlformats.org/spreadsheetml/2006/main" count="233" uniqueCount="77">
  <si>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</si>
  <si>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</si>
  <si>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</si>
  <si>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</si>
  <si>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</si>
  <si>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</si>
  <si>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</si>
  <si>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</si>
  <si>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</si>
  <si>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</si>
  <si>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</si>
  <si>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</si>
  <si>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</si>
  <si>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</si>
  <si>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</si>
  <si>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</si>
  <si>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</si>
  <si>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</si>
  <si>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</si>
  <si>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</si>
  <si>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</si>
  <si>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</si>
  <si>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</si>
  <si>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</si>
  <si>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</si>
  <si>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</si>
  <si>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</si>
  <si>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</si>
  <si>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</si>
  <si>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</si>
  <si>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</si>
  <si>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</si>
  <si>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</si>
  <si>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</si>
  <si>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</si>
  <si>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</si>
  <si>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</si>
  <si>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</si>
  <si>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</si>
  <si>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</si>
  <si>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</si>
  <si>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</si>
  <si>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</si>
  <si>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</si>
  <si>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</si>
  <si>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</si>
  <si>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</si>
  <si>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</si>
  <si>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</si>
  <si>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</si>
  <si>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</si>
  <si>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</si>
  <si>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</si>
  <si>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</si>
  <si>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>Total</t>
  </si>
  <si>
    <t>TDC 800,000</t>
  </si>
  <si>
    <t>Qtr.</t>
  </si>
  <si>
    <t>Quarterly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</si>
  <si>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</si>
  <si>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</si>
  <si>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</si>
  <si>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</si>
  <si>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>Totals</t>
  </si>
  <si>
    <t xml:space="preserve"> TOTAL</t>
  </si>
  <si>
    <t>.</t>
  </si>
  <si>
    <t>Subfund 162</t>
  </si>
  <si>
    <t xml:space="preserve">Distribution to </t>
  </si>
  <si>
    <t>Cultural Affiars</t>
  </si>
  <si>
    <t>Miami Dade</t>
  </si>
  <si>
    <t>2008-2009</t>
  </si>
  <si>
    <t xml:space="preserve"> 2008-2009</t>
  </si>
  <si>
    <t>Metropolitan Dade County - Slot Machine Tax</t>
  </si>
  <si>
    <t xml:space="preserve">1 1/2 % Tax </t>
  </si>
  <si>
    <t>Fiscal Year</t>
  </si>
  <si>
    <t>TDC 1,050,000</t>
  </si>
  <si>
    <t>2013-2014</t>
  </si>
  <si>
    <t xml:space="preserve"> 2013-2014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</si>
</sst>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</numFmts>
  <fonts count="47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sz val="23"/>
      <color indexed="8"/>
      <name val="Arial"/>
      <family val="0"/>
    </font>
    <font>
      <sz val="9.2"/>
      <color indexed="8"/>
      <name val="Arial"/>
      <family val="0"/>
    </font>
    <font>
      <sz val="19.5"/>
      <color indexed="8"/>
      <name val="Arial"/>
      <family val="0"/>
    </font>
    <font>
      <sz val="7.35"/>
      <color indexed="8"/>
      <name val="Arial"/>
      <family val="0"/>
    </font>
    <font>
      <sz val="20.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b/>
      <sz val="20"/>
      <color indexed="8"/>
      <name val="Arial"/>
      <family val="0"/>
    </font>
    <font>
      <b/>
      <sz val="23.75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8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0" fillId="25" borderId="0" xfId="0" applyFill="1" applyAlignment="1">
      <alignment/>
    </xf>
    <xf numFmtId="8" fontId="0" fillId="25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0" fontId="1" fillId="27" borderId="0" xfId="0" applyFont="1" applyFill="1" applyAlignment="1">
      <alignment/>
    </xf>
    <xf numFmtId="0" fontId="0" fillId="28" borderId="0" xfId="0" applyFill="1" applyAlignment="1">
      <alignment/>
    </xf>
    <xf numFmtId="8" fontId="0" fillId="28" borderId="0" xfId="0" applyNumberFormat="1" applyFill="1" applyAlignment="1">
      <alignment/>
    </xf>
    <xf numFmtId="10" fontId="0" fillId="28" borderId="0" xfId="0" applyNumberFormat="1" applyFill="1" applyAlignment="1">
      <alignment/>
    </xf>
    <xf numFmtId="10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9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6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65" fontId="0" fillId="27" borderId="0" xfId="0" applyNumberFormat="1" applyFill="1" applyAlignment="1">
      <alignment/>
    </xf>
    <xf numFmtId="10" fontId="0" fillId="27" borderId="0" xfId="0" applyNumberFormat="1" applyFill="1" applyAlignment="1">
      <alignment/>
    </xf>
    <xf numFmtId="165" fontId="0" fillId="29" borderId="10" xfId="0" applyNumberFormat="1" applyFill="1" applyBorder="1" applyAlignment="1">
      <alignment/>
    </xf>
    <xf numFmtId="0" fontId="4" fillId="0" borderId="0" xfId="0" applyFont="1" applyAlignment="1">
      <alignment/>
    </xf>
    <xf numFmtId="165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9" borderId="11" xfId="0" applyFill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105"/>
          <c:w val="0.8032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ConventionTaxTable!$C$6:$C$17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2012 - 2013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5538"/>
        <c:axId val="859843"/>
      </c:barChart>
      <c:catAx>
        <c:axId val="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25"/>
          <c:y val="0.048"/>
          <c:w val="0.0812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"/>
          <c:w val="0.836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TouristTaxTable!$C$6:$C$17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2012 - 2013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738588"/>
        <c:axId val="2538429"/>
      </c:barChart>
      <c:catAx>
        <c:axId val="773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59"/>
          <c:w val="0.12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0175"/>
          <c:w val="0.7597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SportsTaxTable!$C$6:$C$17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2012 - 2013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845862"/>
        <c:axId val="4286167"/>
      </c:barChart>
      <c:catAx>
        <c:axId val="2284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35"/>
          <c:y val="0.06875"/>
          <c:w val="0.139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2"/>
          <c:w val="0.78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FoodandBeverageTaxTable!$C$6:$C$17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2012 - 2013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575504"/>
        <c:axId val="11635217"/>
      </c:barChart>
      <c:cat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"/>
          <c:y val="0.03525"/>
          <c:w val="0.118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15"/>
          <c:w val="0.791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2013 - 2014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/>
            </c:strRef>
          </c:cat>
          <c:val>
            <c:numRef>
              <c:f>HomelessTaxTable!$C$7:$C$18</c:f>
              <c:numCache/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2012 - 2013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/>
            </c:numRef>
          </c:val>
        </c:ser>
        <c:axId val="37608090"/>
        <c:axId val="2928491"/>
      </c:barChart>
      <c:date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91"/>
        <c:crosses val="autoZero"/>
        <c:auto val="0"/>
        <c:noMultiLvlLbl val="0"/>
      </c:dateAx>
      <c:valAx>
        <c:axId val="29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075"/>
          <c:y val="0.0315"/>
          <c:w val="0.0957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41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2462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33725"/>
        <a:ext cx="76676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7</xdr:col>
      <xdr:colOff>504825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7096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8848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8"/>
  <sheetViews>
    <sheetView zoomScalePageLayoutView="0" workbookViewId="0" topLeftCell="A1">
      <selection activeCell="A17" sqref="A17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16.00390625" style="0" customWidth="1"/>
    <col min="5" max="5" width="17.00390625" style="0" customWidth="1"/>
    <col min="8" max="8" width="10.710937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0" bestFit="1" customWidth="1"/>
  </cols>
  <sheetData>
    <row r="1" spans="1:23" ht="12.75">
      <c r="A1" s="4"/>
      <c r="B1" s="4"/>
      <c r="C1" s="4" t="s">
        <v>0</v>
      </c>
      <c r="D1" s="4"/>
      <c r="E1" s="4"/>
      <c r="F1" s="4"/>
      <c r="G1" s="4"/>
      <c r="H1" s="4"/>
      <c r="U1">
        <f>+D3-1</f>
        <v>2012</v>
      </c>
      <c r="V1" t="s">
        <v>3</v>
      </c>
      <c r="W1">
        <f>+D3</f>
        <v>2013</v>
      </c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2</v>
      </c>
      <c r="B3" s="4"/>
      <c r="C3" s="4"/>
      <c r="D3" s="4">
        <f>+B6</f>
        <v>2013</v>
      </c>
      <c r="E3" s="4" t="s">
        <v>3</v>
      </c>
      <c r="F3" s="4">
        <f>+B6+1</f>
        <v>2014</v>
      </c>
      <c r="G3" s="4"/>
      <c r="H3" s="4"/>
    </row>
    <row r="4" spans="1:7" ht="12.75">
      <c r="A4" t="s">
        <v>4</v>
      </c>
      <c r="C4" t="s">
        <v>5</v>
      </c>
      <c r="D4" t="s">
        <v>6</v>
      </c>
      <c r="E4" t="s">
        <v>66</v>
      </c>
      <c r="F4" t="s">
        <v>8</v>
      </c>
      <c r="G4" t="s">
        <v>9</v>
      </c>
    </row>
    <row r="5" spans="1:8" ht="12.75">
      <c r="A5" t="s">
        <v>14</v>
      </c>
      <c r="B5" t="s">
        <v>15</v>
      </c>
      <c r="E5" t="s">
        <v>65</v>
      </c>
      <c r="G5" t="s">
        <v>14</v>
      </c>
      <c r="H5" t="s">
        <v>15</v>
      </c>
    </row>
    <row r="6" spans="1:21" ht="12.75">
      <c r="A6" s="45">
        <v>10</v>
      </c>
      <c r="B6" s="45">
        <v>2013</v>
      </c>
      <c r="C6" s="47">
        <v>3673598.44</v>
      </c>
      <c r="D6" s="47">
        <v>73471.9688</v>
      </c>
      <c r="E6" s="47">
        <v>3600126.4712</v>
      </c>
      <c r="F6" s="48">
        <v>0.12500912830025923</v>
      </c>
      <c r="G6" s="45">
        <v>11</v>
      </c>
      <c r="H6" s="45">
        <v>2013</v>
      </c>
      <c r="I6" s="47"/>
      <c r="J6" s="47"/>
      <c r="K6" s="47"/>
      <c r="L6" s="47"/>
      <c r="O6">
        <f>IF(A6&gt;0,1,0)</f>
        <v>1</v>
      </c>
      <c r="P6" s="23">
        <f>IF(O6=1,DATE(B6,A6,1),"")</f>
        <v>41548</v>
      </c>
      <c r="T6" s="24">
        <f aca="true" t="shared" si="0" ref="T6:T17">IF(O6=1,(F6+1),"")</f>
        <v>1.1250091283002592</v>
      </c>
      <c r="U6" s="22">
        <f>IF(O6=1,C6/T6,"")</f>
        <v>3265394.34</v>
      </c>
    </row>
    <row r="7" spans="1:21" ht="12.75">
      <c r="A7" s="61">
        <v>11</v>
      </c>
      <c r="B7" s="62">
        <v>2013</v>
      </c>
      <c r="C7" s="63">
        <v>4284047.67</v>
      </c>
      <c r="D7" s="63">
        <v>85680.9534</v>
      </c>
      <c r="E7" s="63">
        <v>4198366.7166</v>
      </c>
      <c r="F7" s="48">
        <v>-0.11564687949059294</v>
      </c>
      <c r="G7" s="45">
        <v>12</v>
      </c>
      <c r="H7" s="45">
        <v>2013</v>
      </c>
      <c r="I7" s="29"/>
      <c r="J7" s="29"/>
      <c r="K7" s="29"/>
      <c r="L7" s="29"/>
      <c r="O7">
        <f aca="true" t="shared" si="1" ref="O7:O17">IF(A7&gt;0,1,0)</f>
        <v>1</v>
      </c>
      <c r="P7" s="23">
        <f aca="true" t="shared" si="2" ref="P7:P17">IF(O7=1,DATE(B7,A7,1),"")</f>
        <v>41579</v>
      </c>
      <c r="T7" s="24">
        <f t="shared" si="0"/>
        <v>0.8843531205094071</v>
      </c>
      <c r="U7" s="22">
        <f aca="true" t="shared" si="3" ref="U7:U17">IF(O7=1,C7/T7,"")</f>
        <v>4844272.69</v>
      </c>
    </row>
    <row r="8" spans="1:21" ht="12.75">
      <c r="A8" s="61">
        <v>12</v>
      </c>
      <c r="B8" s="62">
        <v>2013</v>
      </c>
      <c r="C8" s="63">
        <v>5061775.43</v>
      </c>
      <c r="D8" s="63">
        <v>101235.5086</v>
      </c>
      <c r="E8" s="63">
        <v>4960539.921399999</v>
      </c>
      <c r="F8" s="48">
        <v>0.14434448883591777</v>
      </c>
      <c r="G8" s="61">
        <v>1</v>
      </c>
      <c r="H8" s="62">
        <v>2014</v>
      </c>
      <c r="I8" s="29"/>
      <c r="J8" s="29"/>
      <c r="K8" s="29"/>
      <c r="L8" s="29"/>
      <c r="O8">
        <f>IF(A8&gt;0,1,0)</f>
        <v>1</v>
      </c>
      <c r="P8" s="23">
        <f>IF(O8=1,DATE(B8,A8,1),"")</f>
        <v>41609</v>
      </c>
      <c r="T8" s="24">
        <f>IF(O8=1,(F8+1),"")</f>
        <v>1.1443444888359178</v>
      </c>
      <c r="U8" s="22">
        <f>IF(O8=1,C8/T8,"")</f>
        <v>4423296.9</v>
      </c>
    </row>
    <row r="9" spans="1:21" ht="12.75">
      <c r="A9" s="61">
        <v>1</v>
      </c>
      <c r="B9" s="62">
        <v>2014</v>
      </c>
      <c r="C9" s="63">
        <v>7092124.06</v>
      </c>
      <c r="D9" s="63">
        <v>141842.4812</v>
      </c>
      <c r="E9" s="63">
        <v>6950281.578799999</v>
      </c>
      <c r="F9" s="48">
        <v>0.1973618858065791</v>
      </c>
      <c r="G9" s="61">
        <v>2</v>
      </c>
      <c r="H9" s="62">
        <v>2014</v>
      </c>
      <c r="I9" s="29"/>
      <c r="J9" s="29"/>
      <c r="K9" s="29"/>
      <c r="L9" s="29"/>
      <c r="O9">
        <f t="shared" si="1"/>
        <v>1</v>
      </c>
      <c r="P9" s="23">
        <f t="shared" si="2"/>
        <v>41640</v>
      </c>
      <c r="T9" s="24">
        <f t="shared" si="0"/>
        <v>1.197361885806579</v>
      </c>
      <c r="U9" s="22">
        <f t="shared" si="3"/>
        <v>5923124.95</v>
      </c>
    </row>
    <row r="10" spans="1:21" ht="12.75">
      <c r="A10" s="61">
        <v>2</v>
      </c>
      <c r="B10" s="62">
        <v>2014</v>
      </c>
      <c r="C10" s="63">
        <v>7639730.23</v>
      </c>
      <c r="D10" s="63">
        <v>152794.60460000002</v>
      </c>
      <c r="E10" s="63">
        <v>7486935.6254</v>
      </c>
      <c r="F10" s="48">
        <v>0.07186169580978685</v>
      </c>
      <c r="G10" s="61">
        <v>3</v>
      </c>
      <c r="H10" s="62">
        <v>2014</v>
      </c>
      <c r="I10" s="29"/>
      <c r="J10" s="29"/>
      <c r="K10" s="29"/>
      <c r="L10" s="29"/>
      <c r="O10">
        <f t="shared" si="1"/>
        <v>1</v>
      </c>
      <c r="P10" s="23">
        <f t="shared" si="2"/>
        <v>41671</v>
      </c>
      <c r="T10" s="24">
        <f t="shared" si="0"/>
        <v>1.0718616958097869</v>
      </c>
      <c r="U10" s="22">
        <f t="shared" si="3"/>
        <v>7127533.579999999</v>
      </c>
    </row>
    <row r="11" spans="1:21" ht="12.75">
      <c r="A11" s="45">
        <v>3</v>
      </c>
      <c r="B11" s="45">
        <v>2014</v>
      </c>
      <c r="C11" s="47">
        <v>7922946.03</v>
      </c>
      <c r="D11" s="47">
        <v>158458.9206</v>
      </c>
      <c r="E11" s="47">
        <v>7764487.1094</v>
      </c>
      <c r="F11" s="48">
        <v>0.11127304402283089</v>
      </c>
      <c r="G11" s="45">
        <v>4</v>
      </c>
      <c r="H11" s="45">
        <v>2014</v>
      </c>
      <c r="I11" s="47"/>
      <c r="J11" s="47"/>
      <c r="K11" s="47"/>
      <c r="L11" s="47"/>
      <c r="N11" s="44"/>
      <c r="O11">
        <f t="shared" si="1"/>
        <v>1</v>
      </c>
      <c r="P11" s="23">
        <f t="shared" si="2"/>
        <v>41699</v>
      </c>
      <c r="T11" s="24">
        <f t="shared" si="0"/>
        <v>1.111273044022831</v>
      </c>
      <c r="U11" s="22">
        <f t="shared" si="3"/>
        <v>7129612.360000001</v>
      </c>
    </row>
    <row r="12" spans="1:21" ht="12.75">
      <c r="A12" s="45">
        <v>4</v>
      </c>
      <c r="B12" s="45">
        <v>2014</v>
      </c>
      <c r="C12" s="47">
        <v>8578861.2</v>
      </c>
      <c r="D12" s="47">
        <v>171577.224</v>
      </c>
      <c r="E12" s="47">
        <v>8407283.976</v>
      </c>
      <c r="F12" s="48">
        <v>-0.022862763831066113</v>
      </c>
      <c r="G12" s="45">
        <v>5</v>
      </c>
      <c r="H12" s="45">
        <v>2014</v>
      </c>
      <c r="I12" s="47"/>
      <c r="J12" s="47"/>
      <c r="K12" s="47"/>
      <c r="L12" s="47"/>
      <c r="O12">
        <f t="shared" si="1"/>
        <v>1</v>
      </c>
      <c r="P12" s="23">
        <f t="shared" si="2"/>
        <v>41730</v>
      </c>
      <c r="T12" s="24">
        <f t="shared" si="0"/>
        <v>0.9771372361689339</v>
      </c>
      <c r="U12" s="22">
        <f>IF(O12=1,C12/T12,"")</f>
        <v>8779586.82</v>
      </c>
    </row>
    <row r="13" spans="1:21" ht="12.75">
      <c r="A13" s="45">
        <v>5</v>
      </c>
      <c r="B13" s="45">
        <v>2014</v>
      </c>
      <c r="C13" s="47">
        <v>6627101.55</v>
      </c>
      <c r="D13" s="47">
        <v>132542.031</v>
      </c>
      <c r="E13" s="47">
        <v>6494559.518999999</v>
      </c>
      <c r="F13" s="48">
        <v>0.1415421187421564</v>
      </c>
      <c r="G13" s="45">
        <v>6</v>
      </c>
      <c r="H13" s="45">
        <v>2014</v>
      </c>
      <c r="I13" s="29"/>
      <c r="J13" s="29"/>
      <c r="K13" s="29"/>
      <c r="L13" s="29"/>
      <c r="O13">
        <f t="shared" si="1"/>
        <v>1</v>
      </c>
      <c r="P13" s="23">
        <f t="shared" si="2"/>
        <v>41760</v>
      </c>
      <c r="T13" s="24">
        <f t="shared" si="0"/>
        <v>1.1415421187421564</v>
      </c>
      <c r="U13" s="22">
        <f t="shared" si="3"/>
        <v>5805393.8100000005</v>
      </c>
    </row>
    <row r="14" spans="1:21" ht="12.75">
      <c r="A14" s="45">
        <v>6</v>
      </c>
      <c r="B14" s="45">
        <v>2014</v>
      </c>
      <c r="C14" s="47">
        <v>5744652.06</v>
      </c>
      <c r="D14" s="47">
        <v>114893.04119999999</v>
      </c>
      <c r="E14" s="47">
        <v>5629759.0188</v>
      </c>
      <c r="F14" s="48">
        <v>0.17882725353649254</v>
      </c>
      <c r="G14" s="45">
        <v>7</v>
      </c>
      <c r="H14" s="45">
        <v>2014</v>
      </c>
      <c r="I14" s="29"/>
      <c r="J14" s="29"/>
      <c r="K14" s="29"/>
      <c r="L14" s="29"/>
      <c r="O14">
        <f t="shared" si="1"/>
        <v>1</v>
      </c>
      <c r="P14" s="23">
        <f t="shared" si="2"/>
        <v>41791</v>
      </c>
      <c r="S14" s="2">
        <f>(F6+F7+F8+F9+F10+F11+F12+F13+F14+F15+F16+F17)/O18</f>
        <v>0.08715117710607077</v>
      </c>
      <c r="T14" s="24">
        <f t="shared" si="0"/>
        <v>1.1788272535364925</v>
      </c>
      <c r="U14" s="22">
        <f t="shared" si="3"/>
        <v>4873192.44</v>
      </c>
    </row>
    <row r="15" spans="1:21" ht="12.75">
      <c r="A15" s="45">
        <v>7</v>
      </c>
      <c r="B15" s="45">
        <v>2014</v>
      </c>
      <c r="C15" s="47">
        <v>4409782.07</v>
      </c>
      <c r="D15" s="47">
        <v>88195.64140000001</v>
      </c>
      <c r="E15" s="47">
        <v>4321586.4286</v>
      </c>
      <c r="F15" s="48">
        <v>0.04051996054228835</v>
      </c>
      <c r="G15" s="45">
        <v>8</v>
      </c>
      <c r="H15" s="45">
        <v>2014</v>
      </c>
      <c r="I15" s="29"/>
      <c r="J15" s="29"/>
      <c r="K15" s="29"/>
      <c r="L15" s="29"/>
      <c r="O15">
        <f t="shared" si="1"/>
        <v>1</v>
      </c>
      <c r="P15" s="23">
        <f t="shared" si="2"/>
        <v>41821</v>
      </c>
      <c r="T15" s="24">
        <f t="shared" si="0"/>
        <v>1.0405199605422883</v>
      </c>
      <c r="U15" s="22">
        <f t="shared" si="3"/>
        <v>4238056.2</v>
      </c>
    </row>
    <row r="16" spans="1:21" ht="12.75">
      <c r="A16" s="45">
        <v>8</v>
      </c>
      <c r="B16" s="45">
        <v>2014</v>
      </c>
      <c r="C16" s="47">
        <v>4703234.68</v>
      </c>
      <c r="D16" s="47">
        <v>94064.6936</v>
      </c>
      <c r="E16" s="47">
        <v>4609169.9864</v>
      </c>
      <c r="F16" s="48">
        <v>0.04169007999131691</v>
      </c>
      <c r="G16" s="45">
        <v>9</v>
      </c>
      <c r="H16" s="45">
        <v>2014</v>
      </c>
      <c r="I16" s="47"/>
      <c r="J16" s="47"/>
      <c r="K16" s="47"/>
      <c r="L16" s="47"/>
      <c r="O16">
        <f t="shared" si="1"/>
        <v>1</v>
      </c>
      <c r="P16" s="23">
        <f t="shared" si="2"/>
        <v>41852</v>
      </c>
      <c r="T16" s="24">
        <f t="shared" si="0"/>
        <v>1.041690079991317</v>
      </c>
      <c r="U16" s="22">
        <f t="shared" si="3"/>
        <v>4515003.81</v>
      </c>
    </row>
    <row r="17" spans="1:21" ht="12.75">
      <c r="A17" s="61">
        <v>9</v>
      </c>
      <c r="B17" s="62">
        <v>2014</v>
      </c>
      <c r="C17" s="63">
        <v>4866067.7</v>
      </c>
      <c r="D17" s="63">
        <v>97321.354</v>
      </c>
      <c r="E17" s="63">
        <v>4768746.346</v>
      </c>
      <c r="F17" s="48">
        <v>0.13189411300688025</v>
      </c>
      <c r="G17" s="61">
        <v>10</v>
      </c>
      <c r="H17" s="62">
        <v>2014</v>
      </c>
      <c r="I17" s="29"/>
      <c r="J17" s="29"/>
      <c r="K17" s="29"/>
      <c r="L17" s="29"/>
      <c r="O17">
        <f t="shared" si="1"/>
        <v>1</v>
      </c>
      <c r="P17" s="23">
        <f t="shared" si="2"/>
        <v>41883</v>
      </c>
      <c r="T17" s="24">
        <f t="shared" si="0"/>
        <v>1.1318941130068803</v>
      </c>
      <c r="U17" s="22">
        <f t="shared" si="3"/>
        <v>4299048.51</v>
      </c>
    </row>
    <row r="18" spans="1:21" ht="12.75">
      <c r="A18" s="5"/>
      <c r="B18" s="5"/>
      <c r="C18" s="6">
        <f>SUM(C6:C17)</f>
        <v>70603921.12</v>
      </c>
      <c r="D18" s="6">
        <f>SUM(D6:D17)</f>
        <v>1412078.4224000003</v>
      </c>
      <c r="E18" s="6">
        <f>SUM(E6:E17)</f>
        <v>69191842.69759999</v>
      </c>
      <c r="F18" s="7">
        <f>(C18/U18)-1</f>
        <v>0.08249179139895446</v>
      </c>
      <c r="G18" s="5"/>
      <c r="H18" s="5"/>
      <c r="I18" s="29"/>
      <c r="J18" s="29"/>
      <c r="K18" s="29"/>
      <c r="L18" s="29"/>
      <c r="O18" s="3">
        <f>SUM(O6:O17)</f>
        <v>12</v>
      </c>
      <c r="T18" s="21"/>
      <c r="U18" s="22">
        <f>SUM(U6:U17)</f>
        <v>65223516.410000004</v>
      </c>
    </row>
    <row r="19" ht="12.75">
      <c r="C19" s="26"/>
    </row>
    <row r="48" ht="12.75">
      <c r="C48" s="44"/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2</v>
      </c>
      <c r="B53" s="4"/>
      <c r="C53" s="4"/>
      <c r="D53" s="4" t="str">
        <f>+B56</f>
        <v>2013-2014</v>
      </c>
      <c r="E53" s="4" t="s">
        <v>57</v>
      </c>
      <c r="F53" s="4"/>
      <c r="G53" s="4"/>
      <c r="H53" s="4"/>
      <c r="I53" s="4"/>
      <c r="J53" s="4"/>
      <c r="K53" s="4"/>
      <c r="L53" s="4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t="s">
        <v>75</v>
      </c>
      <c r="C56" s="29">
        <f>+C6+C7+C8</f>
        <v>13019421.54</v>
      </c>
      <c r="D56" s="29">
        <f>+D6+D7+D8</f>
        <v>260388.4308</v>
      </c>
      <c r="E56" s="29">
        <f>+E6+E7+E8</f>
        <v>12759033.109199999</v>
      </c>
      <c r="F56" s="30">
        <f>(F6+F7+F8)/O56</f>
        <v>0.05123557921519469</v>
      </c>
      <c r="G56" s="28">
        <v>1</v>
      </c>
      <c r="H56" t="str">
        <f>+$B$56</f>
        <v>2013-2014</v>
      </c>
      <c r="I56" s="29">
        <f>+I6+I7+I8</f>
        <v>0</v>
      </c>
      <c r="J56" s="29">
        <f>+J6+J7+J8</f>
        <v>0</v>
      </c>
      <c r="K56" s="29">
        <f>+K6+K7+K8</f>
        <v>0</v>
      </c>
      <c r="L56" s="29">
        <f>+L6+L7+L8</f>
        <v>0</v>
      </c>
      <c r="O56" s="31">
        <f>+O6+O7+O8</f>
        <v>3</v>
      </c>
    </row>
    <row r="57" spans="1:15" ht="12.75">
      <c r="A57" s="28">
        <v>2</v>
      </c>
      <c r="B57" t="str">
        <f>+$B$56</f>
        <v>2013-2014</v>
      </c>
      <c r="C57" s="29">
        <f>+C9+C10+C11</f>
        <v>22654800.32</v>
      </c>
      <c r="D57" s="29">
        <f>+D9+D10+D11</f>
        <v>453096.0064</v>
      </c>
      <c r="E57" s="29">
        <f>+E9+E10+E11</f>
        <v>22201704.3136</v>
      </c>
      <c r="F57" s="30">
        <f>(F7+F8+F9)/O57</f>
        <v>0.07535316505063465</v>
      </c>
      <c r="G57" s="28">
        <v>2</v>
      </c>
      <c r="H57" t="str">
        <f>+$B$56</f>
        <v>2013-2014</v>
      </c>
      <c r="I57" s="29">
        <f>+I9+I10+I11</f>
        <v>0</v>
      </c>
      <c r="J57" s="29">
        <v>0</v>
      </c>
      <c r="K57" s="29">
        <f>+K9+K10+K11</f>
        <v>0</v>
      </c>
      <c r="L57" s="29">
        <f>+L9+L10+L11</f>
        <v>0</v>
      </c>
      <c r="O57" s="31">
        <f>+O9+O10+O11</f>
        <v>3</v>
      </c>
    </row>
    <row r="58" spans="1:15" ht="12.75">
      <c r="A58" s="28">
        <v>3</v>
      </c>
      <c r="B58" t="str">
        <f>+$B$56</f>
        <v>2013-2014</v>
      </c>
      <c r="C58" s="29">
        <f>+C12+C13+C14</f>
        <v>20950614.81</v>
      </c>
      <c r="D58" s="29">
        <f>+D12+D13+D14</f>
        <v>419012.2962</v>
      </c>
      <c r="E58" s="29">
        <f>+E12+E13+E14</f>
        <v>20531602.5138</v>
      </c>
      <c r="F58" s="30">
        <f>(F8+F9+F10)/O58</f>
        <v>0.13785602348409456</v>
      </c>
      <c r="G58" s="28">
        <v>3</v>
      </c>
      <c r="H58" t="str">
        <f>+$B$56</f>
        <v>2013-2014</v>
      </c>
      <c r="I58" s="29">
        <f>+I12+I13+I14</f>
        <v>0</v>
      </c>
      <c r="J58" s="29">
        <f>+J12+J13+J14</f>
        <v>0</v>
      </c>
      <c r="K58" s="29">
        <f>+K12+K13+K14</f>
        <v>0</v>
      </c>
      <c r="L58" s="29">
        <f>+L12+L13+L14</f>
        <v>0</v>
      </c>
      <c r="O58" s="31">
        <f>+O12+O13+O14</f>
        <v>3</v>
      </c>
    </row>
    <row r="59" spans="1:15" ht="12.75">
      <c r="A59" s="28">
        <v>4</v>
      </c>
      <c r="B59" t="str">
        <f>+$B$56</f>
        <v>2013-2014</v>
      </c>
      <c r="C59" s="29">
        <f>+C15+C16+C17</f>
        <v>13979084.45</v>
      </c>
      <c r="D59" s="29">
        <f>+D15+D16+D17</f>
        <v>279581.689</v>
      </c>
      <c r="E59" s="29">
        <f>+E15+E16+E17</f>
        <v>13699502.761</v>
      </c>
      <c r="F59" s="30">
        <f>(F9+F10+F11)/O59</f>
        <v>0.12683220854639896</v>
      </c>
      <c r="G59" s="28">
        <v>4</v>
      </c>
      <c r="H59" t="str">
        <f>+$B$56</f>
        <v>2013-2014</v>
      </c>
      <c r="I59" s="29">
        <f>+I15+I16+I17</f>
        <v>0</v>
      </c>
      <c r="J59" s="29">
        <v>0</v>
      </c>
      <c r="K59" s="29">
        <f>+K15+K16+K17</f>
        <v>0</v>
      </c>
      <c r="L59" s="29">
        <f>+L15+L16+L17</f>
        <v>0</v>
      </c>
      <c r="O59" s="31">
        <f>+O15+O16+O17</f>
        <v>3</v>
      </c>
    </row>
    <row r="60" spans="1:12" ht="12.75">
      <c r="A60" s="5"/>
      <c r="B60" s="5"/>
      <c r="C60" s="6">
        <f>SUM(C48:C59)</f>
        <v>70603921.12</v>
      </c>
      <c r="D60" s="6">
        <f>SUM(D48:D59)</f>
        <v>1412078.4224</v>
      </c>
      <c r="E60" s="6">
        <f>SUM(E48:E59)</f>
        <v>69191842.6976</v>
      </c>
      <c r="F60" s="7">
        <f>+F18</f>
        <v>0.08249179139895446</v>
      </c>
      <c r="G60" s="5"/>
      <c r="H60" s="5"/>
      <c r="I60" s="6">
        <f>SUM(I48:I59)</f>
        <v>0</v>
      </c>
      <c r="J60" s="6">
        <f>SUM(J48:J59)</f>
        <v>0</v>
      </c>
      <c r="K60" s="6">
        <f>SUM(K48:K59)</f>
        <v>0</v>
      </c>
      <c r="L60" s="6">
        <f>SUM(L48:L59)</f>
        <v>0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5"/>
      <c r="B68" s="5"/>
      <c r="C68" s="6"/>
      <c r="D68" s="6"/>
      <c r="E68" s="6"/>
      <c r="F68" s="7"/>
      <c r="G68" s="5"/>
      <c r="H68" s="5"/>
      <c r="I68" s="6"/>
      <c r="J68" s="6"/>
      <c r="K68" s="6"/>
      <c r="L68" s="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94"/>
  <sheetViews>
    <sheetView zoomScalePageLayoutView="0" workbookViewId="0" topLeftCell="A1">
      <selection activeCell="A38" sqref="A38:I38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0" width="19.57421875" style="0" customWidth="1"/>
    <col min="11" max="11" width="14.140625" style="0" customWidth="1"/>
    <col min="12" max="12" width="14.28125" style="0" customWidth="1"/>
    <col min="13" max="13" width="17.00390625" style="0" customWidth="1"/>
    <col min="14" max="14" width="13.8515625" style="0" customWidth="1"/>
    <col min="15" max="15" width="13.7109375" style="0" customWidth="1"/>
    <col min="16" max="16" width="11.8515625" style="0" customWidth="1"/>
    <col min="21" max="21" width="11.28125" style="0" customWidth="1"/>
  </cols>
  <sheetData>
    <row r="1" spans="1:9" ht="12.75">
      <c r="A1" s="12"/>
      <c r="B1" s="12"/>
      <c r="C1" s="12" t="s">
        <v>24</v>
      </c>
      <c r="D1" s="12"/>
      <c r="E1" s="12"/>
      <c r="F1" s="12"/>
      <c r="G1" s="12"/>
      <c r="H1" s="12"/>
      <c r="I1" s="12"/>
    </row>
    <row r="2" spans="1:16" ht="12.75">
      <c r="A2" s="12"/>
      <c r="B2" s="12"/>
      <c r="C2" s="12" t="s">
        <v>25</v>
      </c>
      <c r="D2" s="12"/>
      <c r="E2" s="12"/>
      <c r="F2" s="12"/>
      <c r="G2" s="12"/>
      <c r="H2" s="12"/>
      <c r="I2" s="12"/>
      <c r="N2">
        <f>+D3-1</f>
        <v>2012</v>
      </c>
      <c r="O2" t="s">
        <v>3</v>
      </c>
      <c r="P2">
        <f>+D3</f>
        <v>2013</v>
      </c>
    </row>
    <row r="3" spans="1:9" ht="12.75">
      <c r="A3" s="12"/>
      <c r="B3" s="12"/>
      <c r="C3" s="12" t="s">
        <v>26</v>
      </c>
      <c r="D3" s="12">
        <f>+B6</f>
        <v>2013</v>
      </c>
      <c r="E3" s="12" t="s">
        <v>3</v>
      </c>
      <c r="F3" s="12">
        <f>+D3+1</f>
        <v>2014</v>
      </c>
      <c r="G3" s="12"/>
      <c r="H3" s="12"/>
      <c r="I3" s="12"/>
    </row>
    <row r="4" spans="1:9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29</v>
      </c>
    </row>
    <row r="5" spans="1:9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</row>
    <row r="6" spans="1:21" ht="12.75">
      <c r="A6" s="45">
        <v>10</v>
      </c>
      <c r="B6" s="45">
        <v>2013</v>
      </c>
      <c r="C6" s="47">
        <v>1291019.1133333333</v>
      </c>
      <c r="D6" s="47">
        <v>38730.573399999994</v>
      </c>
      <c r="E6" s="47">
        <v>1252288.5399333332</v>
      </c>
      <c r="F6" s="48">
        <v>0.09123237296642173</v>
      </c>
      <c r="G6" s="45">
        <v>11</v>
      </c>
      <c r="H6" s="45">
        <v>2013</v>
      </c>
      <c r="I6" s="47">
        <v>1252288.5399333332</v>
      </c>
      <c r="L6" s="11">
        <f>IF(A6&gt;0,1,"")</f>
        <v>1</v>
      </c>
      <c r="M6" s="23">
        <f>DATE(B6,A6,1)</f>
        <v>41548</v>
      </c>
      <c r="N6" s="23">
        <f aca="true" t="shared" si="0" ref="N6:N17">IF(A6&gt;0,M6,"")</f>
        <v>41548</v>
      </c>
      <c r="T6" s="24">
        <f aca="true" t="shared" si="1" ref="T6:T17">IF(L6=1,(F6+1),"")</f>
        <v>1.0912323729664217</v>
      </c>
      <c r="U6" s="22">
        <f aca="true" t="shared" si="2" ref="U6:U17">IF(L6=1,C6/T6,"")</f>
        <v>1183083.59</v>
      </c>
    </row>
    <row r="7" spans="1:21" ht="12.75">
      <c r="A7" s="45">
        <v>11</v>
      </c>
      <c r="B7" s="45">
        <v>2013</v>
      </c>
      <c r="C7" s="47">
        <v>1448636.4466666672</v>
      </c>
      <c r="D7" s="47">
        <v>43459.09340000001</v>
      </c>
      <c r="E7" s="47">
        <v>1405177.353266667</v>
      </c>
      <c r="F7" s="48">
        <v>-0.15629489763296456</v>
      </c>
      <c r="G7" s="45">
        <v>12</v>
      </c>
      <c r="H7" s="45">
        <v>2013</v>
      </c>
      <c r="I7" s="47">
        <v>1405177.353266667</v>
      </c>
      <c r="J7" s="46"/>
      <c r="L7" s="11">
        <f>IF(A7&gt;0,1,0)</f>
        <v>1</v>
      </c>
      <c r="M7" s="23">
        <f aca="true" t="shared" si="3" ref="M7:M17">DATE(B7,A7,1)</f>
        <v>41579</v>
      </c>
      <c r="N7" s="23">
        <f t="shared" si="0"/>
        <v>41579</v>
      </c>
      <c r="T7" s="24">
        <f t="shared" si="1"/>
        <v>0.8437051023670354</v>
      </c>
      <c r="U7" s="22">
        <f t="shared" si="2"/>
        <v>1716993.82</v>
      </c>
    </row>
    <row r="8" spans="1:21" ht="12.75">
      <c r="A8" s="45">
        <v>12</v>
      </c>
      <c r="B8" s="45">
        <v>2013</v>
      </c>
      <c r="C8" s="47">
        <v>1945375.473333334</v>
      </c>
      <c r="D8" s="47">
        <v>58361.26420000002</v>
      </c>
      <c r="E8" s="47">
        <v>1887014.209133334</v>
      </c>
      <c r="F8" s="48">
        <v>0.17660841608075528</v>
      </c>
      <c r="G8" s="45">
        <v>1</v>
      </c>
      <c r="H8" s="45">
        <v>2014</v>
      </c>
      <c r="I8" s="47">
        <v>1887014.209133334</v>
      </c>
      <c r="L8" s="11">
        <f>IF(A8&gt;0,1,0)</f>
        <v>1</v>
      </c>
      <c r="M8" s="23">
        <f t="shared" si="3"/>
        <v>41609</v>
      </c>
      <c r="N8" s="23">
        <f t="shared" si="0"/>
        <v>41609</v>
      </c>
      <c r="T8" s="24">
        <f t="shared" si="1"/>
        <v>1.1766084160807553</v>
      </c>
      <c r="U8" s="22">
        <f t="shared" si="2"/>
        <v>1653375.4533333334</v>
      </c>
    </row>
    <row r="9" spans="1:21" ht="12.75">
      <c r="A9" s="45">
        <v>1</v>
      </c>
      <c r="B9" s="45">
        <v>2014</v>
      </c>
      <c r="C9" s="47">
        <v>2142398.9</v>
      </c>
      <c r="D9" s="47">
        <v>64271.967000000026</v>
      </c>
      <c r="E9" s="47">
        <v>2078126.933000001</v>
      </c>
      <c r="F9" s="48">
        <v>0.19392044962585775</v>
      </c>
      <c r="G9" s="45">
        <v>2</v>
      </c>
      <c r="H9" s="45">
        <v>2014</v>
      </c>
      <c r="I9" s="47">
        <v>2078126.9330000007</v>
      </c>
      <c r="L9" s="11">
        <f>IF(A9&gt;0,1,0)</f>
        <v>1</v>
      </c>
      <c r="M9" s="23">
        <f t="shared" si="3"/>
        <v>41640</v>
      </c>
      <c r="N9" s="23">
        <f t="shared" si="0"/>
        <v>41640</v>
      </c>
      <c r="T9" s="24">
        <f t="shared" si="1"/>
        <v>1.1939204496258577</v>
      </c>
      <c r="U9" s="22">
        <f t="shared" si="2"/>
        <v>1794423.4899999993</v>
      </c>
    </row>
    <row r="10" spans="1:21" ht="12.75">
      <c r="A10" s="45">
        <v>2</v>
      </c>
      <c r="B10" s="45">
        <v>2014</v>
      </c>
      <c r="C10" s="47">
        <v>2589214.8933333345</v>
      </c>
      <c r="D10" s="47">
        <v>77676.44680000003</v>
      </c>
      <c r="E10" s="47">
        <v>2511538.4465333344</v>
      </c>
      <c r="F10" s="48">
        <v>0.06674513369993917</v>
      </c>
      <c r="G10" s="45">
        <v>3</v>
      </c>
      <c r="H10" s="45">
        <v>2014</v>
      </c>
      <c r="I10" s="47">
        <v>2511538.4465333344</v>
      </c>
      <c r="L10" s="11">
        <f aca="true" t="shared" si="4" ref="L10:L16">IF(A10&gt;0,1,0)</f>
        <v>1</v>
      </c>
      <c r="M10" s="23">
        <f t="shared" si="3"/>
        <v>41671</v>
      </c>
      <c r="N10" s="23">
        <f t="shared" si="0"/>
        <v>41671</v>
      </c>
      <c r="T10" s="24">
        <f t="shared" si="1"/>
        <v>1.0667451336999392</v>
      </c>
      <c r="U10" s="22">
        <f t="shared" si="2"/>
        <v>2427210.41</v>
      </c>
    </row>
    <row r="11" spans="1:21" s="46" customFormat="1" ht="14.25" customHeight="1">
      <c r="A11" s="45">
        <v>3</v>
      </c>
      <c r="B11" s="45">
        <v>2014</v>
      </c>
      <c r="C11" s="47">
        <v>2756217.13</v>
      </c>
      <c r="D11" s="47">
        <v>82686.51389999999</v>
      </c>
      <c r="E11" s="47">
        <v>2673530.6160999998</v>
      </c>
      <c r="F11" s="48">
        <v>0.10702543043158164</v>
      </c>
      <c r="G11" s="45">
        <v>4</v>
      </c>
      <c r="H11" s="45">
        <v>2014</v>
      </c>
      <c r="I11" s="47">
        <v>2673530.6160999998</v>
      </c>
      <c r="L11" s="11">
        <f>IF(A11&gt;0,1,0)</f>
        <v>1</v>
      </c>
      <c r="M11" s="23">
        <f>DATE(B11,A11,1)</f>
        <v>41699</v>
      </c>
      <c r="N11" s="23">
        <f>IF(A11&gt;0,M11,"")</f>
        <v>41699</v>
      </c>
      <c r="O11"/>
      <c r="P11"/>
      <c r="Q11"/>
      <c r="R11"/>
      <c r="S11"/>
      <c r="T11" s="24">
        <f>IF(L11=1,(F11+1),"")</f>
        <v>1.1070254304315816</v>
      </c>
      <c r="U11" s="22">
        <f>IF(L11=1,C11/T11,"")</f>
        <v>2489750.51</v>
      </c>
    </row>
    <row r="12" spans="1:21" ht="12.75">
      <c r="A12" s="45">
        <v>4</v>
      </c>
      <c r="B12" s="45">
        <v>2014</v>
      </c>
      <c r="C12" s="47">
        <v>2862286.3066666666</v>
      </c>
      <c r="D12" s="47">
        <v>85868.5892</v>
      </c>
      <c r="E12" s="47">
        <v>2776417.717466667</v>
      </c>
      <c r="F12" s="48">
        <v>0.006872078746358756</v>
      </c>
      <c r="G12" s="45">
        <v>5</v>
      </c>
      <c r="H12" s="45">
        <v>2014</v>
      </c>
      <c r="I12" s="47">
        <v>2776417.7174666664</v>
      </c>
      <c r="L12" s="11">
        <f t="shared" si="4"/>
        <v>1</v>
      </c>
      <c r="M12" s="23">
        <f t="shared" si="3"/>
        <v>41730</v>
      </c>
      <c r="N12" s="23">
        <f t="shared" si="0"/>
        <v>41730</v>
      </c>
      <c r="T12" s="24">
        <f t="shared" si="1"/>
        <v>1.0068720787463588</v>
      </c>
      <c r="U12" s="22">
        <f t="shared" si="2"/>
        <v>2842750.7</v>
      </c>
    </row>
    <row r="13" spans="1:21" ht="12.75">
      <c r="A13" s="45">
        <v>5</v>
      </c>
      <c r="B13" s="45">
        <v>2014</v>
      </c>
      <c r="C13" s="47">
        <v>2131493.8866666676</v>
      </c>
      <c r="D13" s="47">
        <v>63944.81660000003</v>
      </c>
      <c r="E13" s="47">
        <v>2067549.0700666676</v>
      </c>
      <c r="F13" s="48">
        <v>0.12743767795531724</v>
      </c>
      <c r="G13" s="45">
        <v>6</v>
      </c>
      <c r="H13" s="45">
        <v>2014</v>
      </c>
      <c r="I13" s="47">
        <v>2067549.0700666676</v>
      </c>
      <c r="L13" s="11">
        <f t="shared" si="4"/>
        <v>1</v>
      </c>
      <c r="M13" s="23">
        <f t="shared" si="3"/>
        <v>41760</v>
      </c>
      <c r="N13" s="23">
        <f t="shared" si="0"/>
        <v>41760</v>
      </c>
      <c r="T13" s="24">
        <f t="shared" si="1"/>
        <v>1.1274376779553172</v>
      </c>
      <c r="U13" s="22">
        <f t="shared" si="2"/>
        <v>1890564.71</v>
      </c>
    </row>
    <row r="14" spans="1:21" ht="12.75">
      <c r="A14" s="45">
        <v>6</v>
      </c>
      <c r="B14" s="45">
        <v>2014</v>
      </c>
      <c r="C14" s="47">
        <v>1926527.3133333344</v>
      </c>
      <c r="D14" s="47">
        <v>57795.81940000003</v>
      </c>
      <c r="E14" s="47">
        <v>1868731.4939333345</v>
      </c>
      <c r="F14" s="48">
        <v>0.14960594575125197</v>
      </c>
      <c r="G14" s="45">
        <v>7</v>
      </c>
      <c r="H14" s="45">
        <v>2014</v>
      </c>
      <c r="I14" s="47">
        <v>1868731.4939333342</v>
      </c>
      <c r="L14" s="11">
        <f t="shared" si="4"/>
        <v>1</v>
      </c>
      <c r="M14" s="23">
        <f t="shared" si="3"/>
        <v>41791</v>
      </c>
      <c r="N14" s="23">
        <f t="shared" si="0"/>
        <v>41791</v>
      </c>
      <c r="T14" s="24">
        <f t="shared" si="1"/>
        <v>1.149605945751252</v>
      </c>
      <c r="U14" s="22">
        <f t="shared" si="2"/>
        <v>1675815.37</v>
      </c>
    </row>
    <row r="15" spans="1:21" ht="12.75">
      <c r="A15" s="45">
        <v>7</v>
      </c>
      <c r="B15" s="45">
        <v>2014</v>
      </c>
      <c r="C15" s="47">
        <v>1498013.2066666675</v>
      </c>
      <c r="D15" s="47">
        <v>44940.396200000025</v>
      </c>
      <c r="E15" s="47">
        <v>1453072.8104666674</v>
      </c>
      <c r="F15" s="48">
        <v>0.041080433107233194</v>
      </c>
      <c r="G15" s="45">
        <v>8</v>
      </c>
      <c r="H15" s="45">
        <v>2014</v>
      </c>
      <c r="I15" s="47">
        <v>1453072.8104666674</v>
      </c>
      <c r="L15" s="11">
        <f t="shared" si="4"/>
        <v>1</v>
      </c>
      <c r="M15" s="23">
        <f t="shared" si="3"/>
        <v>41821</v>
      </c>
      <c r="N15" s="23">
        <f t="shared" si="0"/>
        <v>41821</v>
      </c>
      <c r="T15" s="24">
        <f t="shared" si="1"/>
        <v>1.0410804331072332</v>
      </c>
      <c r="U15" s="22">
        <f t="shared" si="2"/>
        <v>1438902.47</v>
      </c>
    </row>
    <row r="16" spans="1:21" ht="12.75">
      <c r="A16" s="45">
        <v>8</v>
      </c>
      <c r="B16" s="45">
        <v>2014</v>
      </c>
      <c r="C16" s="47">
        <v>1515098.233333334</v>
      </c>
      <c r="D16" s="47">
        <v>45452.94700000002</v>
      </c>
      <c r="E16" s="47">
        <v>1469645.2863333342</v>
      </c>
      <c r="F16" s="48">
        <v>0.036483490656993744</v>
      </c>
      <c r="G16" s="45">
        <v>9</v>
      </c>
      <c r="H16" s="45">
        <v>2014</v>
      </c>
      <c r="I16" s="47">
        <v>1469645.286333334</v>
      </c>
      <c r="J16" s="46"/>
      <c r="L16" s="11">
        <f t="shared" si="4"/>
        <v>1</v>
      </c>
      <c r="M16" s="23">
        <f t="shared" si="3"/>
        <v>41852</v>
      </c>
      <c r="N16" s="23">
        <f t="shared" si="0"/>
        <v>41852</v>
      </c>
      <c r="T16" s="24">
        <f t="shared" si="1"/>
        <v>1.0364834906569937</v>
      </c>
      <c r="U16" s="22">
        <f t="shared" si="2"/>
        <v>1461767.84</v>
      </c>
    </row>
    <row r="17" spans="1:21" ht="12.75">
      <c r="A17" s="45">
        <v>9</v>
      </c>
      <c r="B17" s="45">
        <v>2014</v>
      </c>
      <c r="C17" s="47">
        <v>1562482.16</v>
      </c>
      <c r="D17" s="47">
        <v>46874.46480000002</v>
      </c>
      <c r="E17" s="47">
        <v>1515607.695200001</v>
      </c>
      <c r="F17" s="48">
        <v>0.10922552372051086</v>
      </c>
      <c r="G17" s="45">
        <v>10</v>
      </c>
      <c r="H17" s="45">
        <v>2014</v>
      </c>
      <c r="I17" s="47">
        <v>1515607.695200001</v>
      </c>
      <c r="L17" s="11">
        <v>1</v>
      </c>
      <c r="M17" s="23">
        <f t="shared" si="3"/>
        <v>41883</v>
      </c>
      <c r="N17" s="23">
        <f t="shared" si="0"/>
        <v>41883</v>
      </c>
      <c r="T17" s="24">
        <f t="shared" si="1"/>
        <v>1.1092255237205109</v>
      </c>
      <c r="U17" s="22">
        <f t="shared" si="2"/>
        <v>1408624.4199999992</v>
      </c>
    </row>
    <row r="18" spans="1:21" ht="12.75">
      <c r="A18" s="8"/>
      <c r="B18" s="8"/>
      <c r="C18" s="9">
        <f>SUM(C6:C17)</f>
        <v>23668763.06333334</v>
      </c>
      <c r="D18" s="9">
        <f>SUM(D6:D17)</f>
        <v>710062.8919000003</v>
      </c>
      <c r="E18" s="9">
        <f>SUM(E6:E17)</f>
        <v>22958700.171433337</v>
      </c>
      <c r="F18" s="10">
        <f>(C18/U18)-1</f>
        <v>0.07667197979718798</v>
      </c>
      <c r="G18" s="8"/>
      <c r="H18" s="8"/>
      <c r="I18" s="9">
        <f>SUM(I6:I17)</f>
        <v>22958700.171433337</v>
      </c>
      <c r="L18" s="11">
        <f>SUM(L6:L17)</f>
        <v>12</v>
      </c>
      <c r="Q18" s="2">
        <f>(F6+F7+F8+F9+F10+F11+F12+F13+F14+F15+F16+F17)/L18</f>
        <v>0.0791618379257714</v>
      </c>
      <c r="U18" s="22">
        <f>SUM(U6:U17)</f>
        <v>21983262.78333333</v>
      </c>
    </row>
    <row r="22" spans="1:10" ht="12.75">
      <c r="A22" s="13"/>
      <c r="B22" s="13"/>
      <c r="C22" s="13" t="s">
        <v>30</v>
      </c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 t="s">
        <v>31</v>
      </c>
      <c r="D23" s="13"/>
      <c r="E23" s="13"/>
      <c r="F23" s="13"/>
      <c r="G23" s="13"/>
      <c r="H23" s="13"/>
      <c r="I23" s="13"/>
      <c r="J23" s="13"/>
    </row>
    <row r="24" spans="1:13" ht="12.75">
      <c r="A24" s="13"/>
      <c r="B24" s="13"/>
      <c r="C24" s="13" t="s">
        <v>32</v>
      </c>
      <c r="D24" s="13">
        <f>+B27</f>
        <v>2013</v>
      </c>
      <c r="E24" s="13" t="s">
        <v>3</v>
      </c>
      <c r="F24" s="13">
        <f>+B27+1</f>
        <v>2014</v>
      </c>
      <c r="G24" s="13"/>
      <c r="H24" s="13"/>
      <c r="I24" s="13"/>
      <c r="J24" s="13"/>
      <c r="M24">
        <f>70833.33*12</f>
        <v>849999.96</v>
      </c>
    </row>
    <row r="25" spans="1:10" ht="12.75">
      <c r="A25" s="13"/>
      <c r="B25" s="13" t="s">
        <v>33</v>
      </c>
      <c r="C25" s="13" t="s">
        <v>34</v>
      </c>
      <c r="D25" s="13" t="s">
        <v>35</v>
      </c>
      <c r="E25" s="13" t="s">
        <v>74</v>
      </c>
      <c r="F25" s="13" t="s">
        <v>36</v>
      </c>
      <c r="G25" s="13" t="s">
        <v>67</v>
      </c>
      <c r="H25" s="13" t="s">
        <v>68</v>
      </c>
      <c r="I25" s="13" t="s">
        <v>39</v>
      </c>
      <c r="J25" s="13"/>
    </row>
    <row r="26" spans="1:6" ht="12.75">
      <c r="A26" t="s">
        <v>14</v>
      </c>
      <c r="B26" t="s">
        <v>15</v>
      </c>
      <c r="F26" s="56"/>
    </row>
    <row r="27" spans="1:10" ht="12.75">
      <c r="A27">
        <v>11</v>
      </c>
      <c r="B27" s="11">
        <v>2013</v>
      </c>
      <c r="C27" s="26">
        <v>41325.5218178</v>
      </c>
      <c r="D27" s="64">
        <v>1210963.0181155333</v>
      </c>
      <c r="E27" s="64">
        <v>87500</v>
      </c>
      <c r="F27" s="64">
        <v>639077.8108693201</v>
      </c>
      <c r="G27" s="64">
        <v>242192.60362310667</v>
      </c>
      <c r="H27" s="64">
        <v>242192.60362310667</v>
      </c>
      <c r="I27" s="64">
        <v>1252288.5399333334</v>
      </c>
      <c r="J27" s="64"/>
    </row>
    <row r="28" spans="1:10" ht="12.75">
      <c r="A28" s="45">
        <v>12</v>
      </c>
      <c r="B28" s="62">
        <v>2013</v>
      </c>
      <c r="C28" s="47">
        <v>46370.85265780002</v>
      </c>
      <c r="D28" s="47">
        <v>1358806.500608867</v>
      </c>
      <c r="E28" s="47">
        <v>87500</v>
      </c>
      <c r="F28" s="47">
        <v>727783.90036532</v>
      </c>
      <c r="G28" s="47">
        <v>271761.30012177344</v>
      </c>
      <c r="H28" s="47">
        <v>271761.30012177344</v>
      </c>
      <c r="I28" s="47">
        <v>1405177.353266667</v>
      </c>
      <c r="J28" s="47"/>
    </row>
    <row r="29" spans="1:10" ht="12.75">
      <c r="A29" s="45">
        <v>1</v>
      </c>
      <c r="B29" s="62">
        <v>2014</v>
      </c>
      <c r="C29" s="47">
        <v>62271.468901400025</v>
      </c>
      <c r="D29" s="47">
        <v>1824742.740231934</v>
      </c>
      <c r="E29" s="47">
        <v>87500</v>
      </c>
      <c r="F29" s="47">
        <v>1007345.6441391604</v>
      </c>
      <c r="G29" s="47">
        <v>364948.5480463868</v>
      </c>
      <c r="H29" s="47">
        <v>364948.5480463868</v>
      </c>
      <c r="I29" s="47">
        <v>1887014.209133334</v>
      </c>
      <c r="J29" s="47"/>
    </row>
    <row r="30" spans="1:10" ht="12.75">
      <c r="A30" s="45">
        <v>2</v>
      </c>
      <c r="B30" s="45">
        <v>2014</v>
      </c>
      <c r="C30" s="47">
        <v>68578.18878900002</v>
      </c>
      <c r="D30" s="47">
        <v>2009548.7442110006</v>
      </c>
      <c r="E30" s="47">
        <v>87500</v>
      </c>
      <c r="F30" s="47">
        <v>1118229.2465266003</v>
      </c>
      <c r="G30" s="47">
        <v>401909.74884220015</v>
      </c>
      <c r="H30" s="47">
        <v>401909.74884220015</v>
      </c>
      <c r="I30" s="47">
        <v>2078126.9330000007</v>
      </c>
      <c r="J30" s="47"/>
    </row>
    <row r="31" spans="1:10" ht="12.75">
      <c r="A31" s="45">
        <v>3</v>
      </c>
      <c r="B31" s="45">
        <v>2014</v>
      </c>
      <c r="C31" s="47">
        <v>82880.76873560004</v>
      </c>
      <c r="D31" s="47">
        <v>2428657.6777977343</v>
      </c>
      <c r="E31" s="47">
        <v>87500</v>
      </c>
      <c r="F31" s="47">
        <v>1369694.6066786405</v>
      </c>
      <c r="G31" s="47">
        <v>485731.5355595469</v>
      </c>
      <c r="H31" s="47">
        <v>485731.5355595469</v>
      </c>
      <c r="I31" s="47">
        <v>2511538.4465333344</v>
      </c>
      <c r="J31" s="47"/>
    </row>
    <row r="32" spans="1:10" ht="12.75">
      <c r="A32" s="45">
        <v>4</v>
      </c>
      <c r="B32" s="45">
        <v>2014</v>
      </c>
      <c r="C32" s="47">
        <v>88226.5103313</v>
      </c>
      <c r="D32" s="47">
        <v>2585304.1057686997</v>
      </c>
      <c r="E32" s="47">
        <v>87500</v>
      </c>
      <c r="F32" s="47">
        <v>1463682.4634612198</v>
      </c>
      <c r="G32" s="47">
        <v>517060.82115373993</v>
      </c>
      <c r="H32" s="47">
        <v>517060.82115373993</v>
      </c>
      <c r="I32" s="47">
        <v>2673530.6160999998</v>
      </c>
      <c r="J32" s="47"/>
    </row>
    <row r="33" spans="1:10" ht="12.75">
      <c r="A33" s="45">
        <v>5</v>
      </c>
      <c r="B33" s="45">
        <v>2014</v>
      </c>
      <c r="C33" s="47">
        <v>91621.7846764</v>
      </c>
      <c r="D33" s="47">
        <v>2684795.9327902663</v>
      </c>
      <c r="E33" s="47">
        <v>87500</v>
      </c>
      <c r="F33" s="47">
        <v>1523377.5596741596</v>
      </c>
      <c r="G33" s="47">
        <v>536959.1865580532</v>
      </c>
      <c r="H33" s="47">
        <v>536959.1865580532</v>
      </c>
      <c r="I33" s="47">
        <v>2776417.7174666664</v>
      </c>
      <c r="J33" s="47"/>
    </row>
    <row r="34" spans="1:10" ht="12.75">
      <c r="A34" s="45">
        <v>6</v>
      </c>
      <c r="B34" s="45">
        <v>2014</v>
      </c>
      <c r="C34" s="47">
        <v>68229.11931220004</v>
      </c>
      <c r="D34" s="47">
        <v>1999319.9507544676</v>
      </c>
      <c r="E34" s="47">
        <v>87500</v>
      </c>
      <c r="F34" s="47">
        <v>1112091.9704526805</v>
      </c>
      <c r="G34" s="47">
        <v>399863.9901508936</v>
      </c>
      <c r="H34" s="47">
        <v>399863.9901508936</v>
      </c>
      <c r="I34" s="47">
        <v>2067549.0700666676</v>
      </c>
      <c r="J34" s="47"/>
    </row>
    <row r="35" spans="1:10" ht="12.75">
      <c r="A35" s="45">
        <v>7</v>
      </c>
      <c r="B35" s="45">
        <v>2014</v>
      </c>
      <c r="C35" s="47">
        <v>61668.13929980003</v>
      </c>
      <c r="D35" s="47">
        <v>1807063.3546335343</v>
      </c>
      <c r="E35" s="47">
        <v>87500</v>
      </c>
      <c r="F35" s="47">
        <v>996738.0127801206</v>
      </c>
      <c r="G35" s="47">
        <v>361412.67092670687</v>
      </c>
      <c r="H35" s="47">
        <v>361412.67092670687</v>
      </c>
      <c r="I35" s="47">
        <v>1868731.4939333342</v>
      </c>
      <c r="J35" s="47"/>
    </row>
    <row r="36" spans="1:10" ht="12.75">
      <c r="A36" s="45">
        <v>8</v>
      </c>
      <c r="B36" s="45">
        <v>2014</v>
      </c>
      <c r="C36" s="47">
        <v>47951.402745400024</v>
      </c>
      <c r="D36" s="47">
        <v>1405121.4077212673</v>
      </c>
      <c r="E36" s="47">
        <v>87500</v>
      </c>
      <c r="F36" s="47">
        <v>755572.8446327604</v>
      </c>
      <c r="G36" s="47">
        <v>281024.28154425346</v>
      </c>
      <c r="H36" s="47">
        <v>281024.28154425346</v>
      </c>
      <c r="I36" s="47">
        <v>1453072.8104666674</v>
      </c>
      <c r="J36" s="47"/>
    </row>
    <row r="37" spans="1:12" ht="12.75">
      <c r="A37" s="45">
        <v>9</v>
      </c>
      <c r="B37" s="45">
        <v>2014</v>
      </c>
      <c r="C37" s="47">
        <v>48498.29444900002</v>
      </c>
      <c r="D37" s="47">
        <v>1421146.991884334</v>
      </c>
      <c r="E37" s="47">
        <v>87500</v>
      </c>
      <c r="F37" s="47">
        <v>765188.1951306005</v>
      </c>
      <c r="G37" s="47">
        <v>284229.3983768668</v>
      </c>
      <c r="H37" s="47">
        <v>284229.3983768668</v>
      </c>
      <c r="I37" s="47">
        <v>1469645.286333334</v>
      </c>
      <c r="J37" s="29"/>
      <c r="K37" s="56"/>
      <c r="L37" s="26"/>
    </row>
    <row r="38" spans="1:13" ht="12.75">
      <c r="A38" s="45">
        <v>10</v>
      </c>
      <c r="B38" s="45">
        <v>2014</v>
      </c>
      <c r="C38" s="47">
        <v>50015.05394160003</v>
      </c>
      <c r="D38" s="47">
        <v>1465592.6412584009</v>
      </c>
      <c r="E38" s="47">
        <v>87500</v>
      </c>
      <c r="F38" s="47">
        <v>791855.5847550406</v>
      </c>
      <c r="G38" s="47">
        <v>293118.5282516802</v>
      </c>
      <c r="H38" s="47">
        <v>293118.5282516802</v>
      </c>
      <c r="I38" s="47">
        <v>1515607.695200001</v>
      </c>
      <c r="J38" s="47"/>
      <c r="L38" s="44"/>
      <c r="M38" s="56"/>
    </row>
    <row r="39" spans="1:11" ht="12.75">
      <c r="A39" s="14"/>
      <c r="B39" s="14"/>
      <c r="C39" s="15">
        <f aca="true" t="shared" si="5" ref="C39:I39">SUM(C27:C38)</f>
        <v>757637.1056573002</v>
      </c>
      <c r="D39" s="15">
        <f t="shared" si="5"/>
        <v>22201063.06577604</v>
      </c>
      <c r="E39" s="15">
        <f t="shared" si="5"/>
        <v>1050000</v>
      </c>
      <c r="F39" s="15">
        <f t="shared" si="5"/>
        <v>12270637.839465622</v>
      </c>
      <c r="G39" s="15">
        <f t="shared" si="5"/>
        <v>4440212.613155208</v>
      </c>
      <c r="H39" s="15">
        <f t="shared" si="5"/>
        <v>4440212.613155208</v>
      </c>
      <c r="I39" s="15">
        <f t="shared" si="5"/>
        <v>22958700.171433337</v>
      </c>
      <c r="J39" s="15"/>
      <c r="K39" s="1"/>
    </row>
    <row r="43" spans="10:15" ht="12.75">
      <c r="J43" s="56"/>
      <c r="K43" s="47"/>
      <c r="L43" s="47"/>
      <c r="M43" s="56"/>
      <c r="N43" s="56"/>
      <c r="O43" s="56"/>
    </row>
    <row r="44" spans="10:15" ht="12.75">
      <c r="J44" s="56"/>
      <c r="K44" s="47"/>
      <c r="L44" s="47"/>
      <c r="M44" s="56"/>
      <c r="N44" s="56"/>
      <c r="O44" s="56"/>
    </row>
    <row r="45" spans="11:13" ht="12.75">
      <c r="K45" s="47"/>
      <c r="L45" s="47"/>
      <c r="M45" s="56"/>
    </row>
    <row r="46" spans="11:15" ht="12.75">
      <c r="K46" s="47"/>
      <c r="L46" s="47"/>
      <c r="M46" s="56"/>
      <c r="O46" s="56"/>
    </row>
    <row r="47" spans="11:13" ht="12.75">
      <c r="K47" s="47"/>
      <c r="L47" s="47"/>
      <c r="M47" s="56"/>
    </row>
    <row r="48" spans="11:13" ht="12.75">
      <c r="K48" s="47"/>
      <c r="L48" s="47"/>
      <c r="M48" s="56"/>
    </row>
    <row r="49" spans="11:13" ht="12.75">
      <c r="K49" s="47"/>
      <c r="L49" s="47"/>
      <c r="M49" s="56"/>
    </row>
    <row r="50" spans="11:13" ht="12.75">
      <c r="K50" s="47"/>
      <c r="L50" s="47"/>
      <c r="M50" s="56"/>
    </row>
    <row r="51" spans="11:13" ht="12.75">
      <c r="K51" s="47"/>
      <c r="L51" s="47"/>
      <c r="M51" s="56"/>
    </row>
    <row r="52" spans="11:13" ht="12.75">
      <c r="K52" s="47"/>
      <c r="L52" s="47"/>
      <c r="M52" s="56"/>
    </row>
    <row r="53" spans="11:13" ht="12.75">
      <c r="K53" s="47"/>
      <c r="L53" s="47"/>
      <c r="M53" s="56"/>
    </row>
    <row r="54" spans="11:13" ht="12.75">
      <c r="K54" s="47"/>
      <c r="L54" s="47"/>
      <c r="M54" s="56"/>
    </row>
    <row r="71" spans="1:9" ht="12.75">
      <c r="A71" s="12"/>
      <c r="B71" s="12"/>
      <c r="C71" s="12" t="s">
        <v>24</v>
      </c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 t="s">
        <v>25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2013</v>
      </c>
      <c r="E73" s="12" t="s">
        <v>3</v>
      </c>
      <c r="F73" s="12">
        <f>+D73+1</f>
        <v>2014</v>
      </c>
      <c r="G73" s="12"/>
      <c r="H73" s="12"/>
      <c r="I73" s="12"/>
    </row>
    <row r="74" spans="1:9" ht="12.75">
      <c r="A74" s="12"/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29</v>
      </c>
    </row>
    <row r="75" spans="1:9" ht="12.75">
      <c r="A75" s="12" t="s">
        <v>56</v>
      </c>
      <c r="B75" s="12" t="s">
        <v>15</v>
      </c>
      <c r="C75" s="12"/>
      <c r="D75" s="12"/>
      <c r="E75" s="12"/>
      <c r="F75" s="12"/>
      <c r="G75" s="12" t="s">
        <v>61</v>
      </c>
      <c r="H75" s="12"/>
      <c r="I75" s="12"/>
    </row>
    <row r="76" spans="1:15" ht="12.75">
      <c r="A76">
        <v>1</v>
      </c>
      <c r="B76" t="s">
        <v>76</v>
      </c>
      <c r="C76" s="1">
        <f>+C6+C7+C8</f>
        <v>4685031.033333335</v>
      </c>
      <c r="D76" s="1">
        <f>+D6+D7+D8</f>
        <v>140550.93100000004</v>
      </c>
      <c r="E76" s="1">
        <f>+E6+E7+E8</f>
        <v>4544480.102333334</v>
      </c>
      <c r="F76" s="34">
        <f>+F6+F7+F8/O76</f>
        <v>-0.0061930526396244065</v>
      </c>
      <c r="G76" s="11">
        <f aca="true" t="shared" si="6" ref="G76:H79">+A76</f>
        <v>1</v>
      </c>
      <c r="H76" s="1" t="str">
        <f t="shared" si="6"/>
        <v> 2013-2014</v>
      </c>
      <c r="I76" s="1">
        <f>+I6+I7+I8</f>
        <v>4544480.102333334</v>
      </c>
      <c r="L76" s="11"/>
      <c r="O76" s="11">
        <f>+L6+L7+L8</f>
        <v>3</v>
      </c>
    </row>
    <row r="77" spans="1:15" ht="12.75">
      <c r="A77">
        <v>2</v>
      </c>
      <c r="B77" t="str">
        <f>+B76</f>
        <v> 2013-2014</v>
      </c>
      <c r="C77" s="1">
        <f aca="true" t="shared" si="7" ref="C77:E78">+C9+C10+C11</f>
        <v>7487830.923333335</v>
      </c>
      <c r="D77" s="1">
        <f t="shared" si="7"/>
        <v>224634.92770000006</v>
      </c>
      <c r="E77" s="1">
        <f t="shared" si="7"/>
        <v>7263195.995633336</v>
      </c>
      <c r="F77" s="34">
        <f>+F7+F8+F9/O77</f>
        <v>0.08495366832307664</v>
      </c>
      <c r="G77" s="11">
        <f t="shared" si="6"/>
        <v>2</v>
      </c>
      <c r="H77" s="1" t="str">
        <f t="shared" si="6"/>
        <v> 2013-2014</v>
      </c>
      <c r="I77" s="1">
        <f>+I9+I10+I11</f>
        <v>7263195.995633336</v>
      </c>
      <c r="L77" s="11"/>
      <c r="O77" s="11">
        <f>+L9+L10+L11</f>
        <v>3</v>
      </c>
    </row>
    <row r="78" spans="1:15" ht="12.75">
      <c r="A78">
        <v>3</v>
      </c>
      <c r="B78" t="str">
        <f>+B76</f>
        <v> 2013-2014</v>
      </c>
      <c r="C78" s="1">
        <f t="shared" si="7"/>
        <v>8207718.330000001</v>
      </c>
      <c r="D78" s="1">
        <f t="shared" si="7"/>
        <v>246231.54990000004</v>
      </c>
      <c r="E78" s="1">
        <f t="shared" si="7"/>
        <v>7961486.780100001</v>
      </c>
      <c r="F78" s="34">
        <f>+F8+F9+F10/O78</f>
        <v>0.3927772436065928</v>
      </c>
      <c r="G78" s="11">
        <f t="shared" si="6"/>
        <v>3</v>
      </c>
      <c r="H78" s="1" t="str">
        <f t="shared" si="6"/>
        <v> 2013-2014</v>
      </c>
      <c r="I78" s="1">
        <f>+I10+I11+I12</f>
        <v>7961486.7801</v>
      </c>
      <c r="O78" s="11">
        <f>+L12+L13+L14</f>
        <v>3</v>
      </c>
    </row>
    <row r="79" spans="1:15" ht="12.75">
      <c r="A79">
        <v>4</v>
      </c>
      <c r="B79" t="str">
        <f>+B76</f>
        <v> 2013-2014</v>
      </c>
      <c r="C79" s="1">
        <f>+C13+C14+C15</f>
        <v>5556034.40666667</v>
      </c>
      <c r="D79" s="1">
        <f>+D13+D14+D15</f>
        <v>166681.03220000007</v>
      </c>
      <c r="E79" s="1">
        <f>+E13+E14+E15</f>
        <v>5389353.37446667</v>
      </c>
      <c r="F79" s="1">
        <f>+F13+F14+F15</f>
        <v>0.3181240568138024</v>
      </c>
      <c r="G79" s="11">
        <f t="shared" si="6"/>
        <v>4</v>
      </c>
      <c r="H79" s="1" t="str">
        <f t="shared" si="6"/>
        <v> 2013-2014</v>
      </c>
      <c r="I79" s="1">
        <f>+I13+I14+I15</f>
        <v>5389353.37446667</v>
      </c>
      <c r="O79" s="11">
        <f>+L15+L16+L17</f>
        <v>3</v>
      </c>
    </row>
    <row r="80" spans="1:9" ht="12.75">
      <c r="A80" s="4" t="s">
        <v>62</v>
      </c>
      <c r="B80" s="4"/>
      <c r="C80" s="35">
        <f>SUM(C76:C79)</f>
        <v>25936614.693333343</v>
      </c>
      <c r="D80" s="35">
        <f>SUM(D76:D79)</f>
        <v>778098.4408000002</v>
      </c>
      <c r="E80" s="35">
        <f>SUM(E76:E79)</f>
        <v>25158516.252533343</v>
      </c>
      <c r="F80" s="36">
        <f>+F18</f>
        <v>0.07667197979718798</v>
      </c>
      <c r="G80" s="37"/>
      <c r="H80" s="4"/>
      <c r="I80" s="35">
        <f>SUM(I76:I79)</f>
        <v>25158516.25253334</v>
      </c>
    </row>
    <row r="86" spans="1:9" ht="12.75">
      <c r="A86" s="13"/>
      <c r="B86" s="13"/>
      <c r="C86" s="13" t="s">
        <v>30</v>
      </c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 t="s">
        <v>31</v>
      </c>
      <c r="D87" s="13"/>
      <c r="E87" s="13"/>
      <c r="F87" s="13"/>
      <c r="G87" s="13"/>
      <c r="H87" s="13"/>
      <c r="I87" s="13"/>
    </row>
    <row r="88" spans="1:9" ht="12.75">
      <c r="A88" s="13"/>
      <c r="B88" s="12" t="s">
        <v>4</v>
      </c>
      <c r="C88" s="13" t="s">
        <v>32</v>
      </c>
      <c r="D88" s="13">
        <f>+B6</f>
        <v>2013</v>
      </c>
      <c r="E88" s="13" t="s">
        <v>3</v>
      </c>
      <c r="F88" s="13">
        <f>+D88+1</f>
        <v>2014</v>
      </c>
      <c r="G88" s="13"/>
      <c r="H88" s="13"/>
      <c r="I88" s="13"/>
    </row>
    <row r="89" spans="1:9" ht="12.75">
      <c r="A89" s="13" t="s">
        <v>56</v>
      </c>
      <c r="B89" s="12" t="s">
        <v>15</v>
      </c>
      <c r="C89" s="13" t="s">
        <v>34</v>
      </c>
      <c r="D89" s="13" t="s">
        <v>35</v>
      </c>
      <c r="E89" s="13" t="s">
        <v>55</v>
      </c>
      <c r="F89" s="13" t="s">
        <v>36</v>
      </c>
      <c r="G89" s="13" t="s">
        <v>37</v>
      </c>
      <c r="H89" s="13" t="s">
        <v>38</v>
      </c>
      <c r="I89" s="13" t="s">
        <v>39</v>
      </c>
    </row>
    <row r="90" spans="1:9" ht="12.75">
      <c r="A90">
        <f>+A76</f>
        <v>1</v>
      </c>
      <c r="B90" t="str">
        <f>+B76</f>
        <v> 2013-2014</v>
      </c>
      <c r="C90" s="1">
        <f aca="true" t="shared" si="8" ref="C90:H90">+C27+C28+C29</f>
        <v>149967.84337700004</v>
      </c>
      <c r="D90" s="1">
        <f t="shared" si="8"/>
        <v>4394512.258956335</v>
      </c>
      <c r="E90" s="1">
        <f t="shared" si="8"/>
        <v>262500</v>
      </c>
      <c r="F90" s="1">
        <f t="shared" si="8"/>
        <v>2374207.3553738007</v>
      </c>
      <c r="G90" s="1">
        <f t="shared" si="8"/>
        <v>878902.4517912669</v>
      </c>
      <c r="H90" s="1">
        <f t="shared" si="8"/>
        <v>878902.4517912669</v>
      </c>
      <c r="I90" s="1">
        <f>+J27+J28+J29</f>
        <v>0</v>
      </c>
    </row>
    <row r="91" spans="1:9" ht="12.75">
      <c r="A91">
        <f>+A77</f>
        <v>2</v>
      </c>
      <c r="B91" t="str">
        <f>+B90</f>
        <v> 2013-2014</v>
      </c>
      <c r="C91" s="1">
        <f aca="true" t="shared" si="9" ref="C91:H91">+C30+C31+C32</f>
        <v>239685.46785590006</v>
      </c>
      <c r="D91" s="1">
        <f t="shared" si="9"/>
        <v>7023510.527777435</v>
      </c>
      <c r="E91" s="1">
        <f t="shared" si="9"/>
        <v>262500</v>
      </c>
      <c r="F91" s="1">
        <f t="shared" si="9"/>
        <v>3951606.3166664606</v>
      </c>
      <c r="G91" s="1">
        <f t="shared" si="9"/>
        <v>1404702.1055554869</v>
      </c>
      <c r="H91" s="1">
        <f t="shared" si="9"/>
        <v>1404702.1055554869</v>
      </c>
      <c r="I91" s="1">
        <f>+J30+J31+J32</f>
        <v>0</v>
      </c>
    </row>
    <row r="92" spans="1:9" ht="12.75">
      <c r="A92">
        <f>+A78</f>
        <v>3</v>
      </c>
      <c r="B92" t="str">
        <f>+B90</f>
        <v> 2013-2014</v>
      </c>
      <c r="C92" s="1">
        <f>+C33+C34+C35</f>
        <v>221519.04328840008</v>
      </c>
      <c r="D92" s="1">
        <f>+D33+D34+D35</f>
        <v>6491179.238178268</v>
      </c>
      <c r="E92" s="1">
        <f>+E33+E34+E35</f>
        <v>262500</v>
      </c>
      <c r="F92" s="1">
        <f>+F33+F34+F35</f>
        <v>3632207.5429069605</v>
      </c>
      <c r="G92" s="1">
        <f>+G33+G34+G35</f>
        <v>1298235.8476356538</v>
      </c>
      <c r="H92" s="1">
        <f>+H33+H34+I35</f>
        <v>2805554.670642281</v>
      </c>
      <c r="I92" s="1">
        <f>+J33+J34+J35</f>
        <v>0</v>
      </c>
    </row>
    <row r="93" spans="1:9" ht="12.75">
      <c r="A93">
        <f>+A79</f>
        <v>4</v>
      </c>
      <c r="B93" t="str">
        <f>+B90</f>
        <v> 2013-2014</v>
      </c>
      <c r="C93" s="1">
        <f>+C36+C37+C38</f>
        <v>146464.75113600006</v>
      </c>
      <c r="D93" s="1">
        <f>+D36+D37+D38</f>
        <v>4291861.040864002</v>
      </c>
      <c r="E93" s="1">
        <f>+E36+E37+E38</f>
        <v>262500</v>
      </c>
      <c r="F93" s="1">
        <f>+F36+F37+F38</f>
        <v>2312616.6245184015</v>
      </c>
      <c r="G93" s="1">
        <f>+G36+G37+G38</f>
        <v>858372.2081728005</v>
      </c>
      <c r="H93" s="1">
        <f>+I36+I37+I38</f>
        <v>4438325.792000002</v>
      </c>
      <c r="I93" s="1">
        <f>+J36+J37+J38</f>
        <v>0</v>
      </c>
    </row>
    <row r="94" spans="1:9" ht="12.75">
      <c r="A94" s="4" t="s">
        <v>62</v>
      </c>
      <c r="B94" s="4"/>
      <c r="C94" s="35">
        <f aca="true" t="shared" si="10" ref="C94:I94">SUM(C90:C93)</f>
        <v>757637.1056573002</v>
      </c>
      <c r="D94" s="35">
        <f t="shared" si="10"/>
        <v>22201063.06577604</v>
      </c>
      <c r="E94" s="35">
        <f t="shared" si="10"/>
        <v>1050000</v>
      </c>
      <c r="F94" s="35">
        <f t="shared" si="10"/>
        <v>12270637.839465624</v>
      </c>
      <c r="G94" s="35">
        <f t="shared" si="10"/>
        <v>4440212.6131552085</v>
      </c>
      <c r="H94" s="35">
        <f t="shared" si="10"/>
        <v>9527485.019989036</v>
      </c>
      <c r="I94" s="35">
        <f t="shared" si="10"/>
        <v>0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0"/>
  <sheetViews>
    <sheetView zoomScalePageLayoutView="0" workbookViewId="0" topLeftCell="A1">
      <selection activeCell="A17" sqref="A17:I17"/>
    </sheetView>
  </sheetViews>
  <sheetFormatPr defaultColWidth="9.140625" defaultRowHeight="12.75"/>
  <cols>
    <col min="2" max="2" width="12.421875" style="0" customWidth="1"/>
    <col min="3" max="3" width="17.8515625" style="0" customWidth="1"/>
    <col min="4" max="4" width="15.28125" style="0" customWidth="1"/>
    <col min="5" max="5" width="14.140625" style="0" customWidth="1"/>
    <col min="8" max="8" width="10.421875" style="0" customWidth="1"/>
    <col min="9" max="9" width="17.003906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</cols>
  <sheetData>
    <row r="1" spans="1:9" ht="12.75">
      <c r="A1" s="4"/>
      <c r="B1" s="4" t="s">
        <v>0</v>
      </c>
      <c r="C1" s="4"/>
      <c r="D1" s="4"/>
      <c r="E1" s="4"/>
      <c r="F1" s="4"/>
      <c r="G1" s="4"/>
      <c r="H1" s="4"/>
      <c r="I1" s="4"/>
    </row>
    <row r="2" spans="1:9" ht="12.75">
      <c r="A2" s="4"/>
      <c r="B2" s="4" t="s">
        <v>16</v>
      </c>
      <c r="C2" s="4"/>
      <c r="D2" s="4"/>
      <c r="E2" s="4"/>
      <c r="F2" s="4"/>
      <c r="G2" s="4"/>
      <c r="H2" s="4"/>
      <c r="I2" s="4"/>
    </row>
    <row r="3" spans="1:15" ht="12.75">
      <c r="A3" s="4"/>
      <c r="B3" s="4" t="s">
        <v>17</v>
      </c>
      <c r="C3" s="4">
        <f>+B6</f>
        <v>2013</v>
      </c>
      <c r="D3" s="4" t="s">
        <v>3</v>
      </c>
      <c r="E3" s="4">
        <f>+B6+1</f>
        <v>2014</v>
      </c>
      <c r="F3" s="4"/>
      <c r="G3" s="4"/>
      <c r="H3" s="4"/>
      <c r="I3" s="4"/>
      <c r="M3">
        <f>+B6-1</f>
        <v>2012</v>
      </c>
      <c r="N3" t="s">
        <v>3</v>
      </c>
      <c r="O3">
        <f>+B6</f>
        <v>2013</v>
      </c>
    </row>
    <row r="4" spans="1:9" ht="12.75">
      <c r="A4" s="54" t="s">
        <v>18</v>
      </c>
      <c r="B4" s="54"/>
      <c r="C4" s="54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</row>
    <row r="5" spans="1:3" ht="12.75">
      <c r="A5" s="54" t="s">
        <v>14</v>
      </c>
      <c r="B5" s="55" t="s">
        <v>15</v>
      </c>
      <c r="C5" s="54"/>
    </row>
    <row r="6" spans="1:19" s="46" customFormat="1" ht="15.75" customHeight="1">
      <c r="A6" s="45">
        <v>10</v>
      </c>
      <c r="B6" s="45">
        <v>2013</v>
      </c>
      <c r="C6" s="47">
        <v>645509.5566666666</v>
      </c>
      <c r="D6" s="47">
        <v>19365.286699999997</v>
      </c>
      <c r="E6" s="47">
        <v>626144.2699666666</v>
      </c>
      <c r="F6" s="48">
        <v>0.09123238219005048</v>
      </c>
      <c r="G6" s="45">
        <v>11</v>
      </c>
      <c r="H6" s="45">
        <v>2013</v>
      </c>
      <c r="I6" s="47">
        <v>626144.2699666666</v>
      </c>
      <c r="L6" s="49">
        <f aca="true" t="shared" si="0" ref="L6:L17">IF(A6&gt;0,1,0)</f>
        <v>1</v>
      </c>
      <c r="M6" s="50">
        <f>DATE(B6,A6,1)</f>
        <v>41548</v>
      </c>
      <c r="N6" s="51">
        <f aca="true" t="shared" si="1" ref="N6:N17">IF(A6&gt;0,M6,"")</f>
        <v>41548</v>
      </c>
      <c r="R6" s="59">
        <f>IF(L6=1,(F6+1),"")</f>
        <v>1.0912323821900505</v>
      </c>
      <c r="S6" s="60">
        <f>IF(L6=1,C6/R6,"")</f>
        <v>591541.79</v>
      </c>
    </row>
    <row r="7" spans="1:19" ht="12.75">
      <c r="A7" s="45">
        <v>11</v>
      </c>
      <c r="B7" s="45">
        <v>2013</v>
      </c>
      <c r="C7" s="47">
        <v>724318.2233333333</v>
      </c>
      <c r="D7" s="47">
        <v>21729.5467</v>
      </c>
      <c r="E7" s="47">
        <v>702588.6766333333</v>
      </c>
      <c r="F7" s="48">
        <v>-0.1562947993559426</v>
      </c>
      <c r="G7" s="45">
        <v>12</v>
      </c>
      <c r="H7" s="45">
        <v>2013</v>
      </c>
      <c r="I7" s="47">
        <v>702588.6766333336</v>
      </c>
      <c r="L7" s="49">
        <f t="shared" si="0"/>
        <v>1</v>
      </c>
      <c r="M7" s="50">
        <f aca="true" t="shared" si="2" ref="M7:M17">DATE(B7,A7,1)</f>
        <v>41579</v>
      </c>
      <c r="N7" s="51">
        <f t="shared" si="1"/>
        <v>41579</v>
      </c>
      <c r="R7" s="24">
        <f aca="true" t="shared" si="3" ref="R7:R17">IF(L7=1,(F7+1),"")</f>
        <v>0.8437052006440574</v>
      </c>
      <c r="S7" s="22">
        <f aca="true" t="shared" si="4" ref="S7:S17">IF(L7=1,C7/R7,"")</f>
        <v>858496.81</v>
      </c>
    </row>
    <row r="8" spans="1:19" ht="12.75">
      <c r="A8" s="45">
        <v>12</v>
      </c>
      <c r="B8" s="45">
        <v>2013</v>
      </c>
      <c r="C8" s="47">
        <v>972687.7366666666</v>
      </c>
      <c r="D8" s="47">
        <v>29180.632099999995</v>
      </c>
      <c r="E8" s="47">
        <v>943507.1045666665</v>
      </c>
      <c r="F8" s="48">
        <v>0.17660841608075462</v>
      </c>
      <c r="G8" s="45">
        <v>1</v>
      </c>
      <c r="H8" s="45">
        <v>2014</v>
      </c>
      <c r="I8" s="47">
        <v>943507.104566667</v>
      </c>
      <c r="L8" s="49">
        <f t="shared" si="0"/>
        <v>1</v>
      </c>
      <c r="M8" s="50">
        <f t="shared" si="2"/>
        <v>41609</v>
      </c>
      <c r="N8" s="51">
        <f t="shared" si="1"/>
        <v>41609</v>
      </c>
      <c r="R8" s="24">
        <f t="shared" si="3"/>
        <v>1.1766084160807546</v>
      </c>
      <c r="S8" s="22">
        <f t="shared" si="4"/>
        <v>826687.7266666668</v>
      </c>
    </row>
    <row r="9" spans="1:19" ht="12.75">
      <c r="A9" s="45">
        <v>1</v>
      </c>
      <c r="B9" s="45">
        <v>2014</v>
      </c>
      <c r="C9" s="47">
        <v>1071199.45</v>
      </c>
      <c r="D9" s="47">
        <v>32135.9835</v>
      </c>
      <c r="E9" s="47">
        <v>1039063.4665</v>
      </c>
      <c r="F9" s="48">
        <v>0.1939204429723529</v>
      </c>
      <c r="G9" s="45">
        <v>2</v>
      </c>
      <c r="H9" s="45">
        <v>2014</v>
      </c>
      <c r="I9" s="47">
        <v>1039063.4665000004</v>
      </c>
      <c r="L9" s="49">
        <f t="shared" si="0"/>
        <v>1</v>
      </c>
      <c r="M9" s="50">
        <f t="shared" si="2"/>
        <v>41640</v>
      </c>
      <c r="N9" s="51">
        <f t="shared" si="1"/>
        <v>41640</v>
      </c>
      <c r="R9" s="24">
        <f t="shared" si="3"/>
        <v>1.193920442972353</v>
      </c>
      <c r="S9" s="22">
        <f t="shared" si="4"/>
        <v>897211.75</v>
      </c>
    </row>
    <row r="10" spans="1:19" ht="12.75">
      <c r="A10" s="43">
        <v>2</v>
      </c>
      <c r="B10" s="11">
        <v>2014</v>
      </c>
      <c r="C10" s="26">
        <v>1294607.4466666665</v>
      </c>
      <c r="D10" s="26">
        <v>38838.223399999995</v>
      </c>
      <c r="E10" s="63">
        <v>1255769.2232666665</v>
      </c>
      <c r="F10" s="2">
        <v>0.06674512930499588</v>
      </c>
      <c r="G10" s="43">
        <v>3</v>
      </c>
      <c r="H10" s="11">
        <v>2014</v>
      </c>
      <c r="I10" s="26">
        <v>1255769.2232666672</v>
      </c>
      <c r="L10" s="49">
        <f t="shared" si="0"/>
        <v>1</v>
      </c>
      <c r="M10" s="50">
        <f t="shared" si="2"/>
        <v>41671</v>
      </c>
      <c r="N10" s="51">
        <f t="shared" si="1"/>
        <v>41671</v>
      </c>
      <c r="R10" s="24">
        <f t="shared" si="3"/>
        <v>1.0667451293049959</v>
      </c>
      <c r="S10" s="22">
        <f t="shared" si="4"/>
        <v>1213605.21</v>
      </c>
    </row>
    <row r="11" spans="1:19" ht="14.25" customHeight="1">
      <c r="A11" s="45">
        <v>3</v>
      </c>
      <c r="B11" s="45">
        <v>2014</v>
      </c>
      <c r="C11" s="47">
        <v>1378108.56</v>
      </c>
      <c r="D11" s="47">
        <v>41343.2568</v>
      </c>
      <c r="E11" s="47">
        <v>1336765.3032</v>
      </c>
      <c r="F11" s="48">
        <v>0.10702543086144578</v>
      </c>
      <c r="G11" s="45">
        <v>4</v>
      </c>
      <c r="H11" s="45">
        <v>2014</v>
      </c>
      <c r="I11" s="47">
        <v>1336765.3080499999</v>
      </c>
      <c r="L11" s="49">
        <f>IF(A11&gt;0,1,0)</f>
        <v>1</v>
      </c>
      <c r="M11" s="50">
        <f>DATE(B11,A11,1)</f>
        <v>41699</v>
      </c>
      <c r="N11" s="51">
        <f>IF(A11&gt;0,M11,"")</f>
        <v>41699</v>
      </c>
      <c r="R11" s="24">
        <f>IF(L11=1,(F11+1),"")</f>
        <v>1.1070254308614458</v>
      </c>
      <c r="S11" s="22">
        <f>IF(L11=1,C11/R11,"")</f>
        <v>1244875.25</v>
      </c>
    </row>
    <row r="12" spans="1:19" ht="12.75">
      <c r="A12" s="45">
        <v>4</v>
      </c>
      <c r="B12" s="45">
        <v>2014</v>
      </c>
      <c r="C12" s="47">
        <v>1431143.1533333333</v>
      </c>
      <c r="D12" s="47">
        <v>42934.2946</v>
      </c>
      <c r="E12" s="47">
        <v>1388208.8587333334</v>
      </c>
      <c r="F12" s="48">
        <v>0.006872078746358756</v>
      </c>
      <c r="G12" s="45">
        <v>5</v>
      </c>
      <c r="H12" s="45">
        <v>2014</v>
      </c>
      <c r="I12" s="47">
        <v>1388208.8587333334</v>
      </c>
      <c r="L12" s="49">
        <f>IF(A12&gt;0,1,0)</f>
        <v>1</v>
      </c>
      <c r="M12" s="50">
        <f>DATE(B12,A12,1)</f>
        <v>41730</v>
      </c>
      <c r="N12" s="51">
        <f>IF(A12&gt;0,M12,"")</f>
        <v>41730</v>
      </c>
      <c r="R12" s="24">
        <f>IF(L12=1,(F12+1),"")</f>
        <v>1.0068720787463588</v>
      </c>
      <c r="S12" s="22">
        <f>IF(L12=1,C12/R12,"")</f>
        <v>1421375.35</v>
      </c>
    </row>
    <row r="13" spans="1:19" ht="12.75">
      <c r="A13" s="45">
        <v>5</v>
      </c>
      <c r="B13" s="45">
        <v>2014</v>
      </c>
      <c r="C13" s="47">
        <v>1065746.9433333322</v>
      </c>
      <c r="D13" s="47">
        <v>31972.408299999966</v>
      </c>
      <c r="E13" s="47">
        <v>1033774.5350333322</v>
      </c>
      <c r="F13" s="48">
        <v>0.12743767199181866</v>
      </c>
      <c r="G13" s="45">
        <v>6</v>
      </c>
      <c r="H13" s="45">
        <v>2014</v>
      </c>
      <c r="I13" s="47">
        <v>1033774.5350333338</v>
      </c>
      <c r="L13" s="49">
        <f>IF(A13&gt;0,1,0)</f>
        <v>1</v>
      </c>
      <c r="M13" s="50">
        <f>DATE(B13,A13,1)</f>
        <v>41760</v>
      </c>
      <c r="N13" s="51">
        <f>IF(A13&gt;0,M13,"")</f>
        <v>41760</v>
      </c>
      <c r="R13" s="24">
        <f>IF(L13=1,(F13+1),"")</f>
        <v>1.1274376719918187</v>
      </c>
      <c r="S13" s="22">
        <f>IF(L13=1,C13/R13,"")</f>
        <v>945282.36</v>
      </c>
    </row>
    <row r="14" spans="1:19" ht="12.75">
      <c r="A14" s="45">
        <v>6</v>
      </c>
      <c r="B14" s="45">
        <v>2014</v>
      </c>
      <c r="C14" s="47">
        <v>963263.6566666657</v>
      </c>
      <c r="D14" s="47">
        <v>28897.90969999997</v>
      </c>
      <c r="E14" s="47">
        <v>934365.7469666657</v>
      </c>
      <c r="F14" s="48">
        <v>0.14960593889127072</v>
      </c>
      <c r="G14" s="45">
        <v>7</v>
      </c>
      <c r="H14" s="45">
        <v>2014</v>
      </c>
      <c r="I14" s="47">
        <v>934365.7469666672</v>
      </c>
      <c r="L14" s="49">
        <f>IF(A14&gt;0,1,0)</f>
        <v>1</v>
      </c>
      <c r="M14" s="50">
        <f>DATE(B14,A14,1)</f>
        <v>41791</v>
      </c>
      <c r="N14" s="51">
        <f>IF(A14&gt;0,M14,"")</f>
        <v>41791</v>
      </c>
      <c r="R14" s="24">
        <f>IF(L14=1,(F14+1),"")</f>
        <v>1.1496059388912707</v>
      </c>
      <c r="S14" s="22">
        <f>IF(L14=1,C14/R14,"")</f>
        <v>837907.69</v>
      </c>
    </row>
    <row r="15" spans="1:19" ht="12.75">
      <c r="A15" s="45">
        <v>7</v>
      </c>
      <c r="B15" s="45">
        <v>2014</v>
      </c>
      <c r="C15" s="47">
        <v>749006.6033333326</v>
      </c>
      <c r="D15" s="47">
        <v>22470.198099999976</v>
      </c>
      <c r="E15" s="47">
        <v>726536.4052333327</v>
      </c>
      <c r="F15" s="48">
        <v>0.0410804258719919</v>
      </c>
      <c r="G15" s="45">
        <v>8</v>
      </c>
      <c r="H15" s="45">
        <v>2014</v>
      </c>
      <c r="I15" s="47">
        <v>726536.4052333337</v>
      </c>
      <c r="J15" s="46"/>
      <c r="L15" s="49">
        <f>IF(A15&gt;0,1,0)</f>
        <v>1</v>
      </c>
      <c r="M15" s="50">
        <f>DATE(B15,A15,1)</f>
        <v>41821</v>
      </c>
      <c r="N15" s="51">
        <f>IF(A15&gt;0,M15,"")</f>
        <v>41821</v>
      </c>
      <c r="R15" s="24">
        <f>IF(L15=1,(F15+1),"")</f>
        <v>1.041080425871992</v>
      </c>
      <c r="S15" s="22">
        <f>IF(L15=1,C15/R15,"")</f>
        <v>719451.2399999999</v>
      </c>
    </row>
    <row r="16" spans="1:19" ht="12.75">
      <c r="A16" s="45">
        <v>8</v>
      </c>
      <c r="B16" s="45">
        <v>2014</v>
      </c>
      <c r="C16" s="47">
        <v>757549.1166666659</v>
      </c>
      <c r="D16" s="47">
        <v>22726.473499999975</v>
      </c>
      <c r="E16" s="47">
        <v>734822.6431666659</v>
      </c>
      <c r="F16" s="48">
        <v>0.03648349065699219</v>
      </c>
      <c r="G16" s="45">
        <v>9</v>
      </c>
      <c r="H16" s="45">
        <v>2014</v>
      </c>
      <c r="I16" s="47">
        <v>734822.6431666671</v>
      </c>
      <c r="L16" s="49">
        <f t="shared" si="0"/>
        <v>1</v>
      </c>
      <c r="M16" s="50">
        <f t="shared" si="2"/>
        <v>41852</v>
      </c>
      <c r="N16" s="51">
        <f t="shared" si="1"/>
        <v>41852</v>
      </c>
      <c r="R16" s="24">
        <f t="shared" si="3"/>
        <v>1.0364834906569922</v>
      </c>
      <c r="S16" s="22">
        <f t="shared" si="4"/>
        <v>730883.92</v>
      </c>
    </row>
    <row r="17" spans="1:19" ht="12.75">
      <c r="A17" s="45">
        <v>9</v>
      </c>
      <c r="B17" s="45">
        <v>2014</v>
      </c>
      <c r="C17" s="47">
        <v>781241.08</v>
      </c>
      <c r="D17" s="47">
        <v>23437.23240000001</v>
      </c>
      <c r="E17" s="47">
        <v>757803.8476000004</v>
      </c>
      <c r="F17" s="48">
        <v>0.10922552372051086</v>
      </c>
      <c r="G17" s="45">
        <v>10</v>
      </c>
      <c r="H17" s="45">
        <v>2014</v>
      </c>
      <c r="I17" s="47">
        <v>757803.8476000004</v>
      </c>
      <c r="L17" s="49">
        <f t="shared" si="0"/>
        <v>1</v>
      </c>
      <c r="M17" s="50">
        <f t="shared" si="2"/>
        <v>41883</v>
      </c>
      <c r="N17" s="51">
        <f t="shared" si="1"/>
        <v>41883</v>
      </c>
      <c r="R17" s="24">
        <f t="shared" si="3"/>
        <v>1.1092255237205109</v>
      </c>
      <c r="S17" s="22">
        <f t="shared" si="4"/>
        <v>704312.2099999996</v>
      </c>
    </row>
    <row r="18" spans="1:19" ht="12.75">
      <c r="A18" s="8"/>
      <c r="B18" s="8"/>
      <c r="C18" s="9">
        <f>SUM(C6:C17)</f>
        <v>11834381.526666664</v>
      </c>
      <c r="D18" s="9">
        <f>SUM(D6:D17)</f>
        <v>355031.44579999987</v>
      </c>
      <c r="E18" s="9">
        <f>SUM(E6:E17)</f>
        <v>11479350.080866663</v>
      </c>
      <c r="F18" s="10">
        <f>(C18/S18)-1</f>
        <v>0.07667198766836814</v>
      </c>
      <c r="G18" s="8"/>
      <c r="H18" s="8"/>
      <c r="I18" s="9">
        <f>SUM(I6:I17)</f>
        <v>11479350.085716669</v>
      </c>
      <c r="L18" s="49">
        <f>SUM(L6:L17)</f>
        <v>12</v>
      </c>
      <c r="M18" s="52"/>
      <c r="N18" s="52"/>
      <c r="Q18" s="2">
        <f>(F6+F7+F8+F9+F10+F11+F12+F13+F14+F15+F16+F17)/L18</f>
        <v>0.07916184432771668</v>
      </c>
      <c r="S18" s="22">
        <f>SUM(S6:S17)</f>
        <v>10991631.306666667</v>
      </c>
    </row>
    <row r="20" ht="12.75">
      <c r="B20" t="s">
        <v>64</v>
      </c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58</v>
      </c>
      <c r="B53" s="4"/>
      <c r="C53" s="4"/>
      <c r="D53" s="4" t="str">
        <f>+B56</f>
        <v>2008-2009</v>
      </c>
      <c r="E53" s="4" t="s">
        <v>57</v>
      </c>
      <c r="F53" s="4"/>
      <c r="G53" s="4"/>
      <c r="H53" s="4"/>
      <c r="I53" s="4"/>
      <c r="J53" s="4"/>
      <c r="K53" s="4"/>
      <c r="L53" s="4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59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t="s">
        <v>69</v>
      </c>
      <c r="C56" s="29">
        <f>+C6+C7+C8</f>
        <v>2342515.5166666666</v>
      </c>
      <c r="D56" s="29">
        <f>+D6+D7+D8</f>
        <v>70275.46549999999</v>
      </c>
      <c r="E56" s="29">
        <f>+E6+E7+E8</f>
        <v>2272240.0511666667</v>
      </c>
      <c r="F56" s="30">
        <f>(F6+F7+F8)/O56</f>
        <v>0.0371819996382875</v>
      </c>
      <c r="G56" s="28">
        <v>1</v>
      </c>
      <c r="H56" s="44" t="str">
        <f>+$B$56</f>
        <v>2008-2009</v>
      </c>
      <c r="I56" s="29">
        <f>+I6+I7+I8</f>
        <v>2272240.051166667</v>
      </c>
      <c r="J56" s="29"/>
      <c r="K56" s="29"/>
      <c r="L56" s="32">
        <f>+L6+L7+L8</f>
        <v>3</v>
      </c>
      <c r="O56" s="31">
        <f>+L6+L7+L8</f>
        <v>3</v>
      </c>
    </row>
    <row r="57" spans="1:15" ht="12.75">
      <c r="A57" s="28">
        <v>2</v>
      </c>
      <c r="B57" s="44" t="str">
        <f>+$B$56</f>
        <v>2008-2009</v>
      </c>
      <c r="C57" s="29">
        <f>+C9+C10+C11</f>
        <v>3743915.4566666665</v>
      </c>
      <c r="D57" s="29">
        <f>+D9+D10+D11</f>
        <v>112317.4637</v>
      </c>
      <c r="E57" s="29">
        <f>+E9+E10+E11</f>
        <v>3631597.9929666664</v>
      </c>
      <c r="F57" s="30">
        <f>(F7+F8+F9)/O57</f>
        <v>0.0714113532323883</v>
      </c>
      <c r="G57" s="28">
        <v>2</v>
      </c>
      <c r="H57" s="44" t="str">
        <f>+$B$56</f>
        <v>2008-2009</v>
      </c>
      <c r="I57" s="29">
        <f>+I9+I10+I11</f>
        <v>3631597.997816668</v>
      </c>
      <c r="J57" s="29"/>
      <c r="K57" s="29"/>
      <c r="L57" s="32">
        <f>+L9+L10+L11</f>
        <v>3</v>
      </c>
      <c r="O57" s="31">
        <v>3</v>
      </c>
    </row>
    <row r="58" spans="1:15" ht="12.75">
      <c r="A58" s="28">
        <v>3</v>
      </c>
      <c r="B58" s="44" t="str">
        <f>+$B$56</f>
        <v>2008-2009</v>
      </c>
      <c r="C58" s="29">
        <f>+C12+C13+C14</f>
        <v>3460153.7533333316</v>
      </c>
      <c r="D58" s="29">
        <f>+D12+D13+D14</f>
        <v>103804.61259999995</v>
      </c>
      <c r="E58" s="29">
        <f>+E12+E13+E14</f>
        <v>3356349.1407333314</v>
      </c>
      <c r="F58" s="30">
        <f>+F12+F13+F14/O58</f>
        <v>0.28391568962944813</v>
      </c>
      <c r="G58" s="28">
        <v>3</v>
      </c>
      <c r="H58" s="44" t="str">
        <f>+$B$56</f>
        <v>2008-2009</v>
      </c>
      <c r="I58" s="29">
        <f>+I12+I13+I14</f>
        <v>3356349.1407333342</v>
      </c>
      <c r="J58" s="29"/>
      <c r="K58" s="29"/>
      <c r="L58" s="32">
        <f>+L12+L13+L14</f>
        <v>3</v>
      </c>
      <c r="O58" s="31">
        <v>1</v>
      </c>
    </row>
    <row r="59" spans="1:15" ht="12.75">
      <c r="A59" s="28">
        <v>4</v>
      </c>
      <c r="B59" s="44" t="str">
        <f>+$B$56</f>
        <v>2008-2009</v>
      </c>
      <c r="C59" s="29">
        <f>+C15+C16+C17</f>
        <v>2287796.7999999984</v>
      </c>
      <c r="D59" s="29">
        <f>+D15+D16+D17</f>
        <v>68633.90399999997</v>
      </c>
      <c r="E59" s="29">
        <f>+E15+E16+E17</f>
        <v>2219162.895999999</v>
      </c>
      <c r="F59" s="30">
        <v>0</v>
      </c>
      <c r="G59" s="28">
        <v>4</v>
      </c>
      <c r="H59" s="44" t="str">
        <f>+$B$56</f>
        <v>2008-2009</v>
      </c>
      <c r="I59" s="29">
        <f>+I15+I16+I17</f>
        <v>2219162.896000001</v>
      </c>
      <c r="J59" s="29"/>
      <c r="K59" s="29"/>
      <c r="L59" s="32">
        <f>+L15+L16+L17</f>
        <v>3</v>
      </c>
      <c r="O59" s="31">
        <v>0</v>
      </c>
    </row>
    <row r="60" spans="1:12" ht="12.75">
      <c r="A60" s="5"/>
      <c r="B60" s="5"/>
      <c r="C60" s="6">
        <f>SUM(C48:C59)</f>
        <v>11834381.526666664</v>
      </c>
      <c r="D60" s="6">
        <f>SUM(D48:D59)</f>
        <v>355031.4457999999</v>
      </c>
      <c r="E60" s="6">
        <f>SUM(E48:E59)</f>
        <v>11479350.080866665</v>
      </c>
      <c r="F60" s="7">
        <f>+F18</f>
        <v>0.07667198766836814</v>
      </c>
      <c r="G60" s="5"/>
      <c r="H60" s="5"/>
      <c r="I60" s="6">
        <f>SUM(I48:I59)</f>
        <v>11479350.085716672</v>
      </c>
      <c r="J60" s="6"/>
      <c r="K60" s="6"/>
      <c r="L60" s="33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94"/>
  <sheetViews>
    <sheetView zoomScalePageLayoutView="0" workbookViewId="0" topLeftCell="A1">
      <selection activeCell="A38" sqref="A38:G38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0.421875" style="0" customWidth="1"/>
    <col min="9" max="9" width="16.140625" style="0" customWidth="1"/>
    <col min="14" max="14" width="12.140625" style="0" customWidth="1"/>
    <col min="19" max="19" width="10.140625" style="0" bestFit="1" customWidth="1"/>
  </cols>
  <sheetData>
    <row r="1" spans="1:9" ht="12.75">
      <c r="A1" s="16"/>
      <c r="B1" s="13"/>
      <c r="C1" s="13" t="s">
        <v>40</v>
      </c>
      <c r="D1" s="13"/>
      <c r="E1" s="13"/>
      <c r="F1" s="13"/>
      <c r="G1" s="13"/>
      <c r="H1" s="13"/>
      <c r="I1" s="13"/>
    </row>
    <row r="2" spans="1:16" ht="12.75">
      <c r="A2" s="13" t="s">
        <v>53</v>
      </c>
      <c r="B2" s="13"/>
      <c r="C2" s="13" t="s">
        <v>41</v>
      </c>
      <c r="D2" s="13"/>
      <c r="E2" s="13"/>
      <c r="F2" s="13"/>
      <c r="G2" s="13"/>
      <c r="H2" s="13"/>
      <c r="I2" s="13"/>
      <c r="N2">
        <f>+B6-1</f>
        <v>2012</v>
      </c>
      <c r="O2" t="s">
        <v>3</v>
      </c>
      <c r="P2">
        <f>+B6</f>
        <v>2013</v>
      </c>
    </row>
    <row r="3" spans="1:9" ht="12.75">
      <c r="A3" s="13"/>
      <c r="B3" s="13"/>
      <c r="C3" s="13" t="s">
        <v>26</v>
      </c>
      <c r="D3" s="13">
        <f>+B6</f>
        <v>2013</v>
      </c>
      <c r="E3" s="13" t="s">
        <v>3</v>
      </c>
      <c r="F3" s="13">
        <f>+B6+1</f>
        <v>2014</v>
      </c>
      <c r="G3" s="13"/>
      <c r="H3" s="13"/>
      <c r="I3" s="13"/>
    </row>
    <row r="4" spans="1:9" ht="12.75">
      <c r="A4" s="13"/>
      <c r="B4" s="13" t="s">
        <v>4</v>
      </c>
      <c r="C4" s="13" t="s">
        <v>19</v>
      </c>
      <c r="D4" s="13" t="s">
        <v>27</v>
      </c>
      <c r="E4" s="13" t="s">
        <v>28</v>
      </c>
      <c r="F4" s="13" t="s">
        <v>21</v>
      </c>
      <c r="G4" s="13" t="s">
        <v>22</v>
      </c>
      <c r="H4" s="13"/>
      <c r="I4" s="13" t="s">
        <v>42</v>
      </c>
    </row>
    <row r="5" spans="1:9" ht="12.75">
      <c r="A5" s="13"/>
      <c r="B5" s="13" t="s">
        <v>14</v>
      </c>
      <c r="C5" s="13"/>
      <c r="D5" s="13"/>
      <c r="E5" s="13"/>
      <c r="F5" s="13"/>
      <c r="G5" s="13" t="s">
        <v>14</v>
      </c>
      <c r="H5" s="13"/>
      <c r="I5" s="13"/>
    </row>
    <row r="6" spans="1:19" ht="12.75">
      <c r="A6" s="45">
        <v>10</v>
      </c>
      <c r="B6" s="45">
        <v>2013</v>
      </c>
      <c r="C6" s="47">
        <v>448118.16</v>
      </c>
      <c r="D6" s="47">
        <v>13443.544799999998</v>
      </c>
      <c r="E6" s="47">
        <v>434674.6152</v>
      </c>
      <c r="F6" s="48">
        <v>0.02664440932525558</v>
      </c>
      <c r="G6" s="45">
        <v>11</v>
      </c>
      <c r="H6" s="45">
        <v>2013</v>
      </c>
      <c r="I6" s="47">
        <v>434674.61519999994</v>
      </c>
      <c r="J6" s="46"/>
      <c r="M6">
        <f aca="true" t="shared" si="0" ref="M6:M17">IF(A6&gt;0,1,0)</f>
        <v>1</v>
      </c>
      <c r="N6" s="25">
        <f>DATE(B6,A6,1)</f>
        <v>41548</v>
      </c>
      <c r="O6" s="23">
        <f aca="true" t="shared" si="1" ref="O6:O17">IF(B6&gt;0,N6,"")</f>
        <v>41548</v>
      </c>
      <c r="R6" s="24">
        <f>IF(M6=1,(F6+1),"")</f>
        <v>1.0266444093252556</v>
      </c>
      <c r="S6" s="22">
        <f>IF(M6=1,C6/R6,"")</f>
        <v>436488.19000000006</v>
      </c>
    </row>
    <row r="7" spans="1:19" ht="12.75">
      <c r="A7" s="45">
        <v>11</v>
      </c>
      <c r="B7" s="45">
        <v>2013</v>
      </c>
      <c r="C7" s="47">
        <v>494286.53</v>
      </c>
      <c r="D7" s="47">
        <v>14828.5959</v>
      </c>
      <c r="E7" s="47">
        <v>479457.9341</v>
      </c>
      <c r="F7" s="48">
        <v>-0.09793732995641602</v>
      </c>
      <c r="G7" s="45">
        <v>12</v>
      </c>
      <c r="H7" s="45">
        <v>2013</v>
      </c>
      <c r="I7" s="47">
        <v>479457.9341</v>
      </c>
      <c r="M7">
        <f t="shared" si="0"/>
        <v>1</v>
      </c>
      <c r="N7" s="25">
        <f aca="true" t="shared" si="2" ref="N7:N17">DATE(B7,A7,1)</f>
        <v>41579</v>
      </c>
      <c r="O7" s="23">
        <f t="shared" si="1"/>
        <v>41579</v>
      </c>
      <c r="R7" s="24">
        <f aca="true" t="shared" si="3" ref="R7:R17">IF(M7=1,(F7+1),"")</f>
        <v>0.902062670043584</v>
      </c>
      <c r="S7" s="22">
        <f aca="true" t="shared" si="4" ref="S7:S17">IF(M7=1,C7/R7,"")</f>
        <v>547951.43</v>
      </c>
    </row>
    <row r="8" spans="1:19" ht="12.75">
      <c r="A8" s="45">
        <v>12</v>
      </c>
      <c r="B8" s="45">
        <v>2013</v>
      </c>
      <c r="C8" s="47">
        <v>607749.07</v>
      </c>
      <c r="D8" s="47">
        <v>18232.4721</v>
      </c>
      <c r="E8" s="47">
        <v>589516.5978999999</v>
      </c>
      <c r="F8" s="48">
        <v>0.09252259493883064</v>
      </c>
      <c r="G8" s="45">
        <v>1</v>
      </c>
      <c r="H8" s="45">
        <v>2014</v>
      </c>
      <c r="I8" s="47">
        <v>589516.5978999999</v>
      </c>
      <c r="M8">
        <f t="shared" si="0"/>
        <v>1</v>
      </c>
      <c r="N8" s="25">
        <f t="shared" si="2"/>
        <v>41609</v>
      </c>
      <c r="O8" s="23">
        <f t="shared" si="1"/>
        <v>41609</v>
      </c>
      <c r="R8" s="24">
        <f t="shared" si="3"/>
        <v>1.0925225949388306</v>
      </c>
      <c r="S8" s="22">
        <f t="shared" si="4"/>
        <v>556280.55</v>
      </c>
    </row>
    <row r="9" spans="1:19" ht="12.75">
      <c r="A9" s="45">
        <v>1</v>
      </c>
      <c r="B9" s="45">
        <v>2014</v>
      </c>
      <c r="C9" s="47">
        <v>625716.81</v>
      </c>
      <c r="D9" s="47">
        <v>18771.5043</v>
      </c>
      <c r="E9" s="47">
        <v>606945.3057</v>
      </c>
      <c r="F9" s="48">
        <v>0.1726118696391976</v>
      </c>
      <c r="G9" s="45">
        <v>2</v>
      </c>
      <c r="H9" s="45">
        <v>2014</v>
      </c>
      <c r="I9" s="47">
        <v>606945.3057</v>
      </c>
      <c r="M9">
        <f t="shared" si="0"/>
        <v>1</v>
      </c>
      <c r="N9" s="25">
        <f t="shared" si="2"/>
        <v>41640</v>
      </c>
      <c r="O9" s="23">
        <f t="shared" si="1"/>
        <v>41640</v>
      </c>
      <c r="R9" s="24">
        <f t="shared" si="3"/>
        <v>1.1726118696391976</v>
      </c>
      <c r="S9" s="22">
        <f t="shared" si="4"/>
        <v>533609.48</v>
      </c>
    </row>
    <row r="10" spans="1:19" ht="12.75">
      <c r="A10" s="45">
        <v>2</v>
      </c>
      <c r="B10" s="45">
        <v>2014</v>
      </c>
      <c r="C10" s="47">
        <v>727418.97</v>
      </c>
      <c r="D10" s="47">
        <v>21822.569099999997</v>
      </c>
      <c r="E10" s="47">
        <v>705596.4009</v>
      </c>
      <c r="F10" s="48">
        <v>-0.0280188897210627</v>
      </c>
      <c r="G10" s="45">
        <v>3</v>
      </c>
      <c r="H10" s="45">
        <v>2014</v>
      </c>
      <c r="I10" s="47">
        <v>705596.4009</v>
      </c>
      <c r="M10">
        <f t="shared" si="0"/>
        <v>1</v>
      </c>
      <c r="N10" s="25">
        <f t="shared" si="2"/>
        <v>41671</v>
      </c>
      <c r="O10" s="23">
        <f t="shared" si="1"/>
        <v>41671</v>
      </c>
      <c r="R10" s="24">
        <f t="shared" si="3"/>
        <v>0.9719811102789373</v>
      </c>
      <c r="S10" s="22">
        <f t="shared" si="4"/>
        <v>748387.97</v>
      </c>
    </row>
    <row r="11" spans="1:19" ht="12.75">
      <c r="A11" s="45">
        <v>3</v>
      </c>
      <c r="B11" s="45">
        <v>2014</v>
      </c>
      <c r="C11" s="47">
        <v>791923.67</v>
      </c>
      <c r="D11" s="47">
        <v>23757.7101</v>
      </c>
      <c r="E11" s="47">
        <v>768165.9599</v>
      </c>
      <c r="F11" s="48">
        <v>0.13012084168382154</v>
      </c>
      <c r="G11" s="45">
        <v>4</v>
      </c>
      <c r="H11" s="45">
        <v>2014</v>
      </c>
      <c r="I11" s="47">
        <v>768165.9599</v>
      </c>
      <c r="M11">
        <f t="shared" si="0"/>
        <v>1</v>
      </c>
      <c r="N11" s="25">
        <f t="shared" si="2"/>
        <v>41699</v>
      </c>
      <c r="O11" s="23">
        <f t="shared" si="1"/>
        <v>41699</v>
      </c>
      <c r="R11" s="24">
        <f t="shared" si="3"/>
        <v>1.1301208416838215</v>
      </c>
      <c r="S11" s="22">
        <f t="shared" si="4"/>
        <v>700742.47</v>
      </c>
    </row>
    <row r="12" spans="1:19" ht="12.75">
      <c r="A12" s="45">
        <v>4</v>
      </c>
      <c r="B12" s="45">
        <v>2014</v>
      </c>
      <c r="C12" s="47">
        <v>726235.92</v>
      </c>
      <c r="D12" s="47">
        <v>21787.0776</v>
      </c>
      <c r="E12" s="47">
        <v>704448.8424000001</v>
      </c>
      <c r="F12" s="48">
        <v>-0.03374649737124724</v>
      </c>
      <c r="G12" s="45">
        <v>5</v>
      </c>
      <c r="H12" s="45">
        <v>2014</v>
      </c>
      <c r="I12" s="47">
        <v>704448.8424</v>
      </c>
      <c r="M12">
        <f t="shared" si="0"/>
        <v>1</v>
      </c>
      <c r="N12" s="25">
        <f t="shared" si="2"/>
        <v>41730</v>
      </c>
      <c r="O12" s="23">
        <f t="shared" si="1"/>
        <v>41730</v>
      </c>
      <c r="R12" s="24">
        <f t="shared" si="3"/>
        <v>0.9662535026287528</v>
      </c>
      <c r="S12" s="22">
        <f t="shared" si="4"/>
        <v>751599.78</v>
      </c>
    </row>
    <row r="13" spans="1:19" ht="12.75">
      <c r="A13" s="45">
        <v>5</v>
      </c>
      <c r="B13" s="45">
        <v>2014</v>
      </c>
      <c r="C13" s="47">
        <v>660963.5</v>
      </c>
      <c r="D13" s="47">
        <v>19828.905</v>
      </c>
      <c r="E13" s="47">
        <v>641134.595</v>
      </c>
      <c r="F13" s="48">
        <v>0.04914290053491932</v>
      </c>
      <c r="G13" s="45">
        <v>6</v>
      </c>
      <c r="H13" s="45">
        <v>2014</v>
      </c>
      <c r="I13" s="47">
        <v>641134.595</v>
      </c>
      <c r="M13">
        <f t="shared" si="0"/>
        <v>1</v>
      </c>
      <c r="N13" s="25">
        <f t="shared" si="2"/>
        <v>41760</v>
      </c>
      <c r="O13" s="23">
        <f t="shared" si="1"/>
        <v>41760</v>
      </c>
      <c r="R13" s="24">
        <f t="shared" si="3"/>
        <v>1.0491429005349193</v>
      </c>
      <c r="S13" s="22">
        <f t="shared" si="4"/>
        <v>630003.31</v>
      </c>
    </row>
    <row r="14" spans="1:19" ht="12.75">
      <c r="A14" s="45">
        <v>6</v>
      </c>
      <c r="B14" s="45">
        <v>2014</v>
      </c>
      <c r="C14" s="47">
        <v>710855.15</v>
      </c>
      <c r="D14" s="47">
        <v>21325.6545</v>
      </c>
      <c r="E14" s="47">
        <v>689529.4955000001</v>
      </c>
      <c r="F14" s="48">
        <v>0.15393512972224466</v>
      </c>
      <c r="G14" s="45">
        <v>7</v>
      </c>
      <c r="H14" s="45">
        <v>2014</v>
      </c>
      <c r="I14" s="47">
        <v>689529.4955</v>
      </c>
      <c r="M14">
        <f t="shared" si="0"/>
        <v>1</v>
      </c>
      <c r="N14" s="25">
        <f t="shared" si="2"/>
        <v>41791</v>
      </c>
      <c r="O14" s="23">
        <f t="shared" si="1"/>
        <v>41791</v>
      </c>
      <c r="R14" s="24">
        <f t="shared" si="3"/>
        <v>1.1539351297222447</v>
      </c>
      <c r="S14" s="22">
        <f t="shared" si="4"/>
        <v>616026.96</v>
      </c>
    </row>
    <row r="15" spans="1:19" ht="12.75">
      <c r="A15" s="45">
        <v>7</v>
      </c>
      <c r="B15" s="45">
        <v>2014</v>
      </c>
      <c r="C15" s="47">
        <v>475741.85</v>
      </c>
      <c r="D15" s="47">
        <v>14272.2555</v>
      </c>
      <c r="E15" s="47">
        <v>461469.5945</v>
      </c>
      <c r="F15" s="48">
        <v>-0.12120670665892708</v>
      </c>
      <c r="G15" s="45">
        <v>8</v>
      </c>
      <c r="H15" s="45">
        <v>2014</v>
      </c>
      <c r="I15" s="47">
        <v>461469.59449999995</v>
      </c>
      <c r="M15">
        <f t="shared" si="0"/>
        <v>1</v>
      </c>
      <c r="N15" s="25">
        <f t="shared" si="2"/>
        <v>41821</v>
      </c>
      <c r="O15" s="23">
        <f t="shared" si="1"/>
        <v>41821</v>
      </c>
      <c r="R15" s="24">
        <f t="shared" si="3"/>
        <v>0.8787932933410729</v>
      </c>
      <c r="S15" s="22">
        <f t="shared" si="4"/>
        <v>541358.08</v>
      </c>
    </row>
    <row r="16" spans="1:19" ht="12.75">
      <c r="A16" s="45">
        <v>8</v>
      </c>
      <c r="B16" s="45">
        <v>2014</v>
      </c>
      <c r="C16" s="47">
        <v>449109.61</v>
      </c>
      <c r="D16" s="47">
        <v>13473.288299999998</v>
      </c>
      <c r="E16" s="47">
        <v>435636.3217</v>
      </c>
      <c r="F16" s="48">
        <v>0.07488203775083968</v>
      </c>
      <c r="G16" s="45">
        <v>9</v>
      </c>
      <c r="H16" s="45">
        <v>2014</v>
      </c>
      <c r="I16" s="47">
        <v>435636.3217</v>
      </c>
      <c r="M16">
        <f t="shared" si="0"/>
        <v>1</v>
      </c>
      <c r="N16" s="25">
        <f t="shared" si="2"/>
        <v>41852</v>
      </c>
      <c r="O16" s="23">
        <f t="shared" si="1"/>
        <v>41852</v>
      </c>
      <c r="R16" s="24">
        <f t="shared" si="3"/>
        <v>1.0748820377508397</v>
      </c>
      <c r="S16" s="22">
        <f t="shared" si="4"/>
        <v>417822.23</v>
      </c>
    </row>
    <row r="17" spans="1:19" s="46" customFormat="1" ht="12.75">
      <c r="A17" s="45">
        <v>9</v>
      </c>
      <c r="B17" s="45">
        <v>2014</v>
      </c>
      <c r="C17" s="47">
        <v>495115.44</v>
      </c>
      <c r="D17" s="47">
        <v>14853.4632</v>
      </c>
      <c r="E17" s="47">
        <v>480261.9768</v>
      </c>
      <c r="F17" s="48">
        <v>0.21926122461674447</v>
      </c>
      <c r="G17" s="45">
        <v>10</v>
      </c>
      <c r="H17" s="45">
        <v>2014</v>
      </c>
      <c r="I17" s="47">
        <v>480261.9768</v>
      </c>
      <c r="M17" s="46">
        <f t="shared" si="0"/>
        <v>1</v>
      </c>
      <c r="N17" s="57">
        <f t="shared" si="2"/>
        <v>41883</v>
      </c>
      <c r="O17" s="58">
        <f t="shared" si="1"/>
        <v>41883</v>
      </c>
      <c r="R17" s="59">
        <f t="shared" si="3"/>
        <v>1.2192612246167445</v>
      </c>
      <c r="S17" s="60">
        <f t="shared" si="4"/>
        <v>406078.23</v>
      </c>
    </row>
    <row r="18" spans="1:19" ht="12.75">
      <c r="A18" s="17"/>
      <c r="B18" s="17"/>
      <c r="C18" s="18">
        <f>SUM(C6:C17)</f>
        <v>7213234.680000001</v>
      </c>
      <c r="D18" s="18">
        <f>SUM(D6:D17)</f>
        <v>216397.04039999997</v>
      </c>
      <c r="E18" s="18">
        <f>SUM(E6:E17)</f>
        <v>6996837.6396</v>
      </c>
      <c r="F18" s="19">
        <f>(C18/S18)-1</f>
        <v>0.04746869715577651</v>
      </c>
      <c r="G18" s="17"/>
      <c r="H18" s="17"/>
      <c r="I18" s="18">
        <f>SUM(I6:I17)</f>
        <v>6996837.639599999</v>
      </c>
      <c r="M18">
        <f>SUM(M6:M17)</f>
        <v>12</v>
      </c>
      <c r="O18" s="2">
        <f>(F6+F7+F8+F9+F10+F11+F12+F13+F14+F15+F16+F17)/M18</f>
        <v>0.053184298708683374</v>
      </c>
      <c r="S18" s="22">
        <f>SUM(S6:S17)</f>
        <v>6886348.68</v>
      </c>
    </row>
    <row r="22" spans="1:7" ht="12.75">
      <c r="A22" s="14"/>
      <c r="B22" s="14"/>
      <c r="C22" s="14" t="s">
        <v>30</v>
      </c>
      <c r="D22" s="14"/>
      <c r="E22" s="14"/>
      <c r="F22" s="14"/>
      <c r="G22" s="14"/>
    </row>
    <row r="23" spans="1:7" ht="12.75">
      <c r="A23" s="14"/>
      <c r="B23" s="14"/>
      <c r="C23" s="14" t="s">
        <v>43</v>
      </c>
      <c r="D23" s="14"/>
      <c r="E23" s="14"/>
      <c r="F23" s="14"/>
      <c r="G23" s="14"/>
    </row>
    <row r="24" spans="1:7" ht="12.75">
      <c r="A24" s="14"/>
      <c r="B24" s="14"/>
      <c r="C24" s="14" t="s">
        <v>32</v>
      </c>
      <c r="D24" s="14">
        <f>+B27</f>
        <v>2013</v>
      </c>
      <c r="E24" s="14" t="s">
        <v>3</v>
      </c>
      <c r="F24" s="14">
        <f>+B27+1</f>
        <v>2014</v>
      </c>
      <c r="G24" s="14"/>
    </row>
    <row r="25" spans="1:7" ht="12.75">
      <c r="A25" s="14" t="s">
        <v>33</v>
      </c>
      <c r="B25" s="14" t="s">
        <v>14</v>
      </c>
      <c r="C25" s="14" t="s">
        <v>34</v>
      </c>
      <c r="D25" s="14" t="s">
        <v>35</v>
      </c>
      <c r="E25" s="14" t="s">
        <v>44</v>
      </c>
      <c r="F25" s="14" t="s">
        <v>36</v>
      </c>
      <c r="G25" s="14" t="s">
        <v>39</v>
      </c>
    </row>
    <row r="26" spans="1:2" ht="12.75">
      <c r="A26" t="s">
        <v>14</v>
      </c>
      <c r="B26" t="s">
        <v>15</v>
      </c>
    </row>
    <row r="27" spans="1:7" ht="12.75">
      <c r="A27" s="45">
        <v>11</v>
      </c>
      <c r="B27" s="45">
        <v>2013</v>
      </c>
      <c r="C27" s="47">
        <v>14344.262301599998</v>
      </c>
      <c r="D27" s="47">
        <v>420330.3528983999</v>
      </c>
      <c r="E27" s="47">
        <v>8333.333333333334</v>
      </c>
      <c r="F27" s="47">
        <v>411997.0195650666</v>
      </c>
      <c r="G27" s="47">
        <v>434674.61519999994</v>
      </c>
    </row>
    <row r="28" spans="1:7" ht="12.75">
      <c r="A28" s="45">
        <v>12</v>
      </c>
      <c r="B28" s="45">
        <v>2013</v>
      </c>
      <c r="C28" s="47">
        <v>15822.1118253</v>
      </c>
      <c r="D28" s="47">
        <v>463635.82227470004</v>
      </c>
      <c r="E28" s="47">
        <v>8333.333333333334</v>
      </c>
      <c r="F28" s="47">
        <v>455302.4889413667</v>
      </c>
      <c r="G28" s="47">
        <v>479457.9341</v>
      </c>
    </row>
    <row r="29" spans="1:7" ht="12.75">
      <c r="A29" s="45">
        <v>1</v>
      </c>
      <c r="B29" s="45">
        <v>2014</v>
      </c>
      <c r="C29" s="47">
        <v>19454.0477307</v>
      </c>
      <c r="D29" s="47">
        <v>570062.5501692999</v>
      </c>
      <c r="E29" s="47">
        <v>8333.333333333334</v>
      </c>
      <c r="F29" s="47">
        <v>561729.2168359666</v>
      </c>
      <c r="G29" s="47">
        <v>589516.5978999999</v>
      </c>
    </row>
    <row r="30" spans="1:7" ht="12.75">
      <c r="A30" s="45">
        <v>2</v>
      </c>
      <c r="B30" s="45">
        <v>2014</v>
      </c>
      <c r="C30" s="47">
        <v>20029.1950881</v>
      </c>
      <c r="D30" s="47">
        <v>586916.1106119</v>
      </c>
      <c r="E30" s="47">
        <v>8333.333333333334</v>
      </c>
      <c r="F30" s="47">
        <v>578582.7772785666</v>
      </c>
      <c r="G30" s="47">
        <v>606945.3057</v>
      </c>
    </row>
    <row r="31" spans="1:7" ht="12.75">
      <c r="A31" s="45">
        <v>3</v>
      </c>
      <c r="B31" s="45">
        <v>2014</v>
      </c>
      <c r="C31" s="47">
        <v>23284.6812297</v>
      </c>
      <c r="D31" s="47">
        <v>682311.7196703</v>
      </c>
      <c r="E31" s="47">
        <v>8333.333333333334</v>
      </c>
      <c r="F31" s="47">
        <v>673978.3863369667</v>
      </c>
      <c r="G31" s="47">
        <v>705596.4009</v>
      </c>
    </row>
    <row r="32" spans="1:7" ht="12.75">
      <c r="A32" s="45">
        <v>4</v>
      </c>
      <c r="B32" s="45">
        <v>2014</v>
      </c>
      <c r="C32" s="47">
        <v>25349.4766767</v>
      </c>
      <c r="D32" s="47">
        <v>742816.4832233</v>
      </c>
      <c r="E32" s="47">
        <v>8333.333333333334</v>
      </c>
      <c r="F32" s="47">
        <v>734483.1498899666</v>
      </c>
      <c r="G32" s="47">
        <v>768165.9599</v>
      </c>
    </row>
    <row r="33" spans="1:7" ht="12.75">
      <c r="A33" s="45">
        <v>5</v>
      </c>
      <c r="B33" s="45">
        <v>2014</v>
      </c>
      <c r="C33" s="47">
        <v>23246.8117992</v>
      </c>
      <c r="D33" s="47">
        <v>681202.0306008</v>
      </c>
      <c r="E33" s="47">
        <v>8333.333333333334</v>
      </c>
      <c r="F33" s="47">
        <v>672868.6972674666</v>
      </c>
      <c r="G33" s="47">
        <v>704448.8424</v>
      </c>
    </row>
    <row r="34" spans="1:7" ht="12.75">
      <c r="A34" s="45">
        <v>6</v>
      </c>
      <c r="B34" s="45">
        <v>2014</v>
      </c>
      <c r="C34" s="47">
        <v>21157.441635</v>
      </c>
      <c r="D34" s="47">
        <v>619977.1533649999</v>
      </c>
      <c r="E34" s="47">
        <v>8333.333333333334</v>
      </c>
      <c r="F34" s="47">
        <v>611643.8200316665</v>
      </c>
      <c r="G34" s="47">
        <v>641134.595</v>
      </c>
    </row>
    <row r="35" spans="1:7" ht="12.75">
      <c r="A35" s="45">
        <v>7</v>
      </c>
      <c r="B35" s="45">
        <v>2014</v>
      </c>
      <c r="C35" s="47">
        <v>22754.4733515</v>
      </c>
      <c r="D35" s="47">
        <v>666775.0221485</v>
      </c>
      <c r="E35" s="47">
        <v>8333.333333333334</v>
      </c>
      <c r="F35" s="47">
        <v>658441.6888151666</v>
      </c>
      <c r="G35" s="47">
        <v>689529.4955</v>
      </c>
    </row>
    <row r="36" spans="1:7" ht="12.75">
      <c r="A36" s="45">
        <v>8</v>
      </c>
      <c r="B36" s="45">
        <v>2014</v>
      </c>
      <c r="C36" s="47">
        <v>15228.4966185</v>
      </c>
      <c r="D36" s="47">
        <v>446241.09788149997</v>
      </c>
      <c r="E36" s="47">
        <v>8333.333333333334</v>
      </c>
      <c r="F36" s="47">
        <v>437907.76454816666</v>
      </c>
      <c r="G36" s="47">
        <v>461469.59449999995</v>
      </c>
    </row>
    <row r="37" spans="1:7" ht="12.75">
      <c r="A37" s="45">
        <v>9</v>
      </c>
      <c r="B37" s="45">
        <v>2014</v>
      </c>
      <c r="C37" s="47">
        <v>14375.9986161</v>
      </c>
      <c r="D37" s="47">
        <v>421260.3230839</v>
      </c>
      <c r="E37" s="47">
        <v>8333.333333333334</v>
      </c>
      <c r="F37" s="47">
        <v>412926.98975056666</v>
      </c>
      <c r="G37" s="47">
        <v>435636.3217</v>
      </c>
    </row>
    <row r="38" spans="1:7" ht="12.75">
      <c r="A38" s="45">
        <v>10</v>
      </c>
      <c r="B38" s="45">
        <v>2014</v>
      </c>
      <c r="C38" s="47">
        <v>15848.6452344</v>
      </c>
      <c r="D38" s="47">
        <v>464413.3315656</v>
      </c>
      <c r="E38" s="47">
        <v>8333.333333333334</v>
      </c>
      <c r="F38" s="47">
        <v>456079.9982322667</v>
      </c>
      <c r="G38" s="47">
        <v>480261.9768</v>
      </c>
    </row>
    <row r="39" spans="1:7" ht="12.75">
      <c r="A39" s="14"/>
      <c r="B39" s="14"/>
      <c r="C39" s="15">
        <f>SUM(C27:C38)</f>
        <v>230895.6421068</v>
      </c>
      <c r="D39" s="15">
        <f>SUM(D27:D38)</f>
        <v>6765941.9974932</v>
      </c>
      <c r="E39" s="15">
        <f>SUM(E27:E38)</f>
        <v>99999.99999999999</v>
      </c>
      <c r="F39" s="15">
        <f>SUM(F27:F38)</f>
        <v>6665941.9974932</v>
      </c>
      <c r="G39" s="15">
        <f>SUM(G27:G38)</f>
        <v>6996837.639599999</v>
      </c>
    </row>
    <row r="71" spans="1:9" ht="12.75">
      <c r="A71" s="16"/>
      <c r="B71" s="13"/>
      <c r="C71" s="13" t="s">
        <v>40</v>
      </c>
      <c r="D71" s="13"/>
      <c r="E71" s="13"/>
      <c r="F71" s="13"/>
      <c r="G71" s="13"/>
      <c r="H71" s="13"/>
      <c r="I71" s="13"/>
    </row>
    <row r="72" spans="1:9" ht="12.75">
      <c r="A72" s="13" t="s">
        <v>53</v>
      </c>
      <c r="B72" s="13"/>
      <c r="C72" s="13" t="s">
        <v>41</v>
      </c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 t="s">
        <v>26</v>
      </c>
      <c r="D73" s="13">
        <f>+B6</f>
        <v>2013</v>
      </c>
      <c r="E73" s="13" t="s">
        <v>3</v>
      </c>
      <c r="F73" s="13">
        <f>+B6+1</f>
        <v>2014</v>
      </c>
      <c r="G73" s="13"/>
      <c r="H73" s="13"/>
      <c r="I73" s="13"/>
    </row>
    <row r="74" spans="1:9" ht="12.75">
      <c r="A74" s="13" t="s">
        <v>56</v>
      </c>
      <c r="B74" s="13" t="s">
        <v>4</v>
      </c>
      <c r="C74" s="13" t="s">
        <v>19</v>
      </c>
      <c r="D74" s="13" t="s">
        <v>27</v>
      </c>
      <c r="E74" s="13" t="s">
        <v>28</v>
      </c>
      <c r="F74" s="13" t="s">
        <v>21</v>
      </c>
      <c r="G74" s="13" t="s">
        <v>22</v>
      </c>
      <c r="H74" s="13"/>
      <c r="I74" s="13" t="s">
        <v>42</v>
      </c>
    </row>
    <row r="75" spans="1:9" ht="12.75">
      <c r="A75" s="13"/>
      <c r="B75" s="13" t="s">
        <v>15</v>
      </c>
      <c r="C75" s="13"/>
      <c r="D75" s="13"/>
      <c r="E75" s="13"/>
      <c r="F75" s="13"/>
      <c r="G75" s="13" t="s">
        <v>61</v>
      </c>
      <c r="H75" s="13"/>
      <c r="I75" s="13"/>
    </row>
    <row r="76" spans="1:13" ht="12.75">
      <c r="A76">
        <v>1</v>
      </c>
      <c r="B76" t="s">
        <v>70</v>
      </c>
      <c r="C76" s="26">
        <f>+C6+C7+C8</f>
        <v>1550153.7599999998</v>
      </c>
      <c r="D76" s="26">
        <f>+D6+D7+D8</f>
        <v>46504.612799999995</v>
      </c>
      <c r="E76" s="26">
        <f>+E6+E7+E8</f>
        <v>1503649.1472</v>
      </c>
      <c r="F76" s="34">
        <f>(F6+F7+F8)/M76</f>
        <v>0.007076558102556733</v>
      </c>
      <c r="G76">
        <f aca="true" t="shared" si="5" ref="G76:H79">+A76</f>
        <v>1</v>
      </c>
      <c r="H76" t="str">
        <f t="shared" si="5"/>
        <v> 2008-2009</v>
      </c>
      <c r="I76" s="26">
        <f>+I6+I7+I8</f>
        <v>1503649.1472</v>
      </c>
      <c r="M76">
        <f>+M6+M7+M8</f>
        <v>3</v>
      </c>
    </row>
    <row r="77" spans="1:13" ht="12.75">
      <c r="A77">
        <v>2</v>
      </c>
      <c r="B77" t="str">
        <f>+B76</f>
        <v> 2008-2009</v>
      </c>
      <c r="C77" s="26">
        <f>+C9+C10+C11</f>
        <v>2145059.45</v>
      </c>
      <c r="D77" s="26">
        <f>+D9+D10+D11</f>
        <v>64351.78349999999</v>
      </c>
      <c r="E77" s="26">
        <f>+E9+E10+E11</f>
        <v>2080707.6665000003</v>
      </c>
      <c r="F77" s="34">
        <f>(F9+F10+F11)/M77</f>
        <v>0.09157127386731882</v>
      </c>
      <c r="G77">
        <f t="shared" si="5"/>
        <v>2</v>
      </c>
      <c r="H77" t="str">
        <f t="shared" si="5"/>
        <v> 2008-2009</v>
      </c>
      <c r="I77" s="1">
        <f>+I9+I10+I11</f>
        <v>2080707.6665000003</v>
      </c>
      <c r="M77">
        <f>+M9+M10+M11</f>
        <v>3</v>
      </c>
    </row>
    <row r="78" spans="1:13" ht="12.75">
      <c r="A78">
        <v>3</v>
      </c>
      <c r="B78" t="str">
        <f>+B76</f>
        <v> 2008-2009</v>
      </c>
      <c r="C78" s="26">
        <f>+C12+C13+C14</f>
        <v>2098054.57</v>
      </c>
      <c r="D78" s="26">
        <f>+D12+D13+D14</f>
        <v>62941.63710000001</v>
      </c>
      <c r="E78" s="26">
        <f>+E12+E13+E14</f>
        <v>2035112.9329000004</v>
      </c>
      <c r="F78" s="34">
        <f>(F12+F13+F14)/M78</f>
        <v>0.05644384429530558</v>
      </c>
      <c r="G78">
        <f t="shared" si="5"/>
        <v>3</v>
      </c>
      <c r="H78" t="str">
        <f t="shared" si="5"/>
        <v> 2008-2009</v>
      </c>
      <c r="I78" s="26">
        <f>+I12+I13+I14</f>
        <v>2035112.9329</v>
      </c>
      <c r="M78">
        <f>+M12+M13+M14</f>
        <v>3</v>
      </c>
    </row>
    <row r="79" spans="1:13" ht="12.75">
      <c r="A79">
        <v>4</v>
      </c>
      <c r="B79" t="str">
        <f>+B76</f>
        <v> 2008-2009</v>
      </c>
      <c r="C79" s="56">
        <f>+C15+C16+C17</f>
        <v>1419966.9</v>
      </c>
      <c r="D79" s="56">
        <f>+D15+D16+D17</f>
        <v>42599.007</v>
      </c>
      <c r="E79" s="56">
        <f>+E15+E16+E17</f>
        <v>1377367.893</v>
      </c>
      <c r="F79" s="34"/>
      <c r="G79">
        <f t="shared" si="5"/>
        <v>4</v>
      </c>
      <c r="H79" t="str">
        <f t="shared" si="5"/>
        <v> 2008-2009</v>
      </c>
      <c r="I79" s="1">
        <f>+I11+I12+I13</f>
        <v>2113749.3973000003</v>
      </c>
      <c r="M79">
        <f>+M15+M16+M17</f>
        <v>3</v>
      </c>
    </row>
    <row r="80" spans="1:9" ht="12.75">
      <c r="A80" s="13" t="s">
        <v>63</v>
      </c>
      <c r="B80" s="13"/>
      <c r="C80" s="38">
        <f>SUM(C76:C79)</f>
        <v>7213234.68</v>
      </c>
      <c r="D80" s="38">
        <f>SUM(D76:D79)</f>
        <v>216397.0404</v>
      </c>
      <c r="E80" s="38">
        <f>SUM(E76:E79)</f>
        <v>6996837.6396</v>
      </c>
      <c r="F80" s="39">
        <f>+F18</f>
        <v>0.04746869715577651</v>
      </c>
      <c r="G80" s="13"/>
      <c r="H80" s="13"/>
      <c r="I80" s="38">
        <f>SUM(I76:I79)</f>
        <v>7733219.1439000005</v>
      </c>
    </row>
    <row r="85" spans="1:7" ht="12.75">
      <c r="A85" s="14"/>
      <c r="B85" s="14"/>
      <c r="C85" s="14" t="s">
        <v>30</v>
      </c>
      <c r="D85" s="14"/>
      <c r="E85" s="14"/>
      <c r="F85" s="14"/>
      <c r="G85" s="14"/>
    </row>
    <row r="86" spans="1:7" ht="12.75">
      <c r="A86" s="14"/>
      <c r="B86" s="14"/>
      <c r="C86" s="14" t="s">
        <v>43</v>
      </c>
      <c r="D86" s="14"/>
      <c r="E86" s="14"/>
      <c r="F86" s="14"/>
      <c r="G86" s="14"/>
    </row>
    <row r="87" spans="1:7" ht="12.75">
      <c r="A87" s="14"/>
      <c r="B87" s="14"/>
      <c r="C87" s="14" t="s">
        <v>32</v>
      </c>
      <c r="D87" s="14">
        <f>+B6</f>
        <v>2013</v>
      </c>
      <c r="E87" s="14" t="s">
        <v>3</v>
      </c>
      <c r="F87" s="14">
        <f>+B6+1</f>
        <v>2014</v>
      </c>
      <c r="G87" s="14"/>
    </row>
    <row r="88" spans="1:7" ht="12.75">
      <c r="A88" s="14" t="s">
        <v>56</v>
      </c>
      <c r="B88" s="14" t="s">
        <v>14</v>
      </c>
      <c r="C88" s="14" t="s">
        <v>34</v>
      </c>
      <c r="D88" s="14" t="s">
        <v>35</v>
      </c>
      <c r="E88" s="14" t="s">
        <v>44</v>
      </c>
      <c r="F88" s="14" t="s">
        <v>36</v>
      </c>
      <c r="G88" s="14" t="s">
        <v>39</v>
      </c>
    </row>
    <row r="89" spans="2:7" ht="12.75">
      <c r="B89" t="s">
        <v>15</v>
      </c>
      <c r="C89" s="27"/>
      <c r="D89" s="27"/>
      <c r="E89" s="27"/>
      <c r="F89" s="27"/>
      <c r="G89" s="27"/>
    </row>
    <row r="90" spans="1:7" ht="12.75">
      <c r="A90">
        <v>1</v>
      </c>
      <c r="B90" t="s">
        <v>70</v>
      </c>
      <c r="C90" s="40">
        <f>+C27+C28+C29</f>
        <v>49620.4218576</v>
      </c>
      <c r="D90" s="40">
        <f>+D27+D28+D29</f>
        <v>1454028.7253424</v>
      </c>
      <c r="E90" s="40">
        <f>+E27+E28+E29</f>
        <v>25000</v>
      </c>
      <c r="F90" s="40">
        <f>+F27+F28+F29</f>
        <v>1429028.7253424</v>
      </c>
      <c r="G90" s="40">
        <f>+G27+G28+G29</f>
        <v>1503649.1472</v>
      </c>
    </row>
    <row r="91" spans="1:7" ht="12.75">
      <c r="A91">
        <v>2</v>
      </c>
      <c r="B91" t="str">
        <f>+B90</f>
        <v> 2008-2009</v>
      </c>
      <c r="C91" s="40">
        <f>+C30+C31+C32</f>
        <v>68663.3529945</v>
      </c>
      <c r="D91" s="40">
        <f>+D30+D31+D32</f>
        <v>2012044.3135055</v>
      </c>
      <c r="E91" s="40">
        <f>+E30+E31+E32</f>
        <v>25000</v>
      </c>
      <c r="F91" s="40">
        <f>+F30+F31+F32</f>
        <v>1987044.3135054996</v>
      </c>
      <c r="G91" s="40">
        <f>+G30+G31+G32</f>
        <v>2080707.6665000003</v>
      </c>
    </row>
    <row r="92" spans="1:7" ht="12.75">
      <c r="A92">
        <v>3</v>
      </c>
      <c r="B92" t="str">
        <f>+B90</f>
        <v> 2008-2009</v>
      </c>
      <c r="C92" s="40">
        <f>+C33+C34+C35</f>
        <v>67158.7267857</v>
      </c>
      <c r="D92" s="40">
        <f>+D33+D34+D35</f>
        <v>1967954.2061142998</v>
      </c>
      <c r="E92" s="40">
        <f>+E33+E34+E35</f>
        <v>25000</v>
      </c>
      <c r="F92" s="40">
        <f>+F33+F34+F35</f>
        <v>1942954.2061142996</v>
      </c>
      <c r="G92" s="40">
        <f>+G33+G34+G35</f>
        <v>2035112.9329</v>
      </c>
    </row>
    <row r="93" spans="1:7" ht="12.75">
      <c r="A93">
        <v>4</v>
      </c>
      <c r="B93" t="str">
        <f>+B90</f>
        <v> 2008-2009</v>
      </c>
      <c r="C93" s="40">
        <f>+C36+C37+C38</f>
        <v>45453.140469</v>
      </c>
      <c r="D93" s="40">
        <f>+D36+D37+D38</f>
        <v>1331914.752531</v>
      </c>
      <c r="E93" s="40">
        <f>+E36+E37+E38</f>
        <v>25000</v>
      </c>
      <c r="F93" s="40">
        <f>+F36+F37+F38</f>
        <v>1306914.752531</v>
      </c>
      <c r="G93" s="40">
        <f>+G36+G37+G38</f>
        <v>1377367.893</v>
      </c>
    </row>
    <row r="94" spans="1:7" ht="12.75">
      <c r="A94" s="13" t="s">
        <v>63</v>
      </c>
      <c r="B94" s="13"/>
      <c r="C94" s="38">
        <f>SUM(C90:C93)</f>
        <v>230895.64210680002</v>
      </c>
      <c r="D94" s="38">
        <f>SUM(D90:D93)</f>
        <v>6765941.9974932</v>
      </c>
      <c r="E94" s="38">
        <f>SUM(E90:E93)</f>
        <v>100000</v>
      </c>
      <c r="F94" s="38">
        <f>SUM(F90:F93)</f>
        <v>6665941.997493198</v>
      </c>
      <c r="G94" s="38">
        <f>SUM(G90:G93)</f>
        <v>6996837.6396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39.421875" style="0" customWidth="1"/>
    <col min="5" max="5" width="14.28125" style="0" customWidth="1"/>
  </cols>
  <sheetData>
    <row r="1" spans="1:3" ht="12.75">
      <c r="A1" s="14"/>
      <c r="B1" s="14"/>
      <c r="C1" s="14" t="s">
        <v>71</v>
      </c>
    </row>
    <row r="2" spans="1:3" ht="12.75">
      <c r="A2" s="14"/>
      <c r="B2" s="14"/>
      <c r="C2" s="14" t="s">
        <v>72</v>
      </c>
    </row>
    <row r="3" spans="1:3" ht="12.75">
      <c r="A3" s="14"/>
      <c r="B3" s="14"/>
      <c r="C3" s="14"/>
    </row>
    <row r="4" spans="1:3" ht="12.75">
      <c r="A4" s="14"/>
      <c r="B4" s="14"/>
      <c r="C4" s="14" t="s">
        <v>73</v>
      </c>
    </row>
    <row r="5" spans="1:3" ht="12.75">
      <c r="A5" s="14"/>
      <c r="B5" s="14"/>
      <c r="C5" s="14" t="str">
        <f>+B7&amp;"-"&amp;B7+1</f>
        <v>2013-2014</v>
      </c>
    </row>
    <row r="6" spans="1:3" ht="12.75">
      <c r="A6" s="14" t="s">
        <v>4</v>
      </c>
      <c r="B6" s="14" t="s">
        <v>14</v>
      </c>
      <c r="C6" s="14" t="s">
        <v>19</v>
      </c>
    </row>
    <row r="7" spans="1:5" ht="12.75">
      <c r="A7" s="45">
        <v>10</v>
      </c>
      <c r="B7" s="45">
        <v>2013</v>
      </c>
      <c r="C7" s="47">
        <f>84576.84+64910.25+87724.63</f>
        <v>237211.72</v>
      </c>
      <c r="E7" s="63"/>
    </row>
    <row r="8" spans="1:3" ht="12.75">
      <c r="A8" s="45">
        <v>11</v>
      </c>
      <c r="B8" s="45">
        <v>2013</v>
      </c>
      <c r="C8" s="47">
        <f>88822.31+86629+68948.59</f>
        <v>244399.9</v>
      </c>
    </row>
    <row r="9" spans="1:3" ht="12.75">
      <c r="A9" s="45">
        <v>12</v>
      </c>
      <c r="B9" s="45">
        <v>2013</v>
      </c>
      <c r="C9" s="47">
        <v>245435.1</v>
      </c>
    </row>
    <row r="10" spans="1:3" ht="12.75">
      <c r="A10" s="45">
        <v>1</v>
      </c>
      <c r="B10" s="45">
        <v>2014</v>
      </c>
      <c r="C10" s="47">
        <f>90687.19+89244.4+69945.35</f>
        <v>249876.94</v>
      </c>
    </row>
    <row r="11" spans="1:3" ht="12.75">
      <c r="A11" s="45">
        <v>2</v>
      </c>
      <c r="B11" s="45">
        <v>2014</v>
      </c>
      <c r="C11" s="47">
        <f>90802.16+66381.09+95113.42</f>
        <v>252296.66999999998</v>
      </c>
    </row>
    <row r="12" spans="1:3" ht="12.75">
      <c r="A12" s="45">
        <v>3</v>
      </c>
      <c r="B12" s="45">
        <v>2014</v>
      </c>
      <c r="C12" s="47">
        <f>96070.69+96598.56+75561.45</f>
        <v>268230.7</v>
      </c>
    </row>
    <row r="13" spans="1:3" ht="12.75">
      <c r="A13" s="45">
        <v>4</v>
      </c>
      <c r="B13" s="45">
        <v>2014</v>
      </c>
      <c r="C13" s="47">
        <f>105961.82+107068.58+83100.11</f>
        <v>296130.51</v>
      </c>
    </row>
    <row r="14" spans="1:3" ht="12.75">
      <c r="A14" s="45">
        <v>5</v>
      </c>
      <c r="B14" s="45">
        <v>2014</v>
      </c>
      <c r="C14" s="47">
        <f>100864.47+92462.51+72029.31</f>
        <v>265356.29</v>
      </c>
    </row>
    <row r="15" spans="1:3" ht="12.75">
      <c r="A15" s="45">
        <v>6</v>
      </c>
      <c r="B15" s="45">
        <v>2014</v>
      </c>
      <c r="C15" s="47">
        <f>101302.8+98224.41+71997.76</f>
        <v>271524.97000000003</v>
      </c>
    </row>
    <row r="16" spans="1:3" ht="12.75">
      <c r="A16" s="45">
        <v>7</v>
      </c>
      <c r="B16" s="45">
        <v>2014</v>
      </c>
      <c r="C16" s="26">
        <v>247583.53</v>
      </c>
    </row>
    <row r="17" spans="1:3" ht="12.75">
      <c r="A17" s="45">
        <v>8</v>
      </c>
      <c r="B17" s="45">
        <v>2014</v>
      </c>
      <c r="C17" s="47">
        <f>91870.69+64844.29+88952.4</f>
        <v>245667.38</v>
      </c>
    </row>
    <row r="18" spans="1:3" ht="12.75">
      <c r="A18" s="45">
        <v>9</v>
      </c>
      <c r="B18" s="45">
        <v>2014</v>
      </c>
      <c r="C18" s="47">
        <v>261085.19</v>
      </c>
    </row>
    <row r="19" spans="1:3" ht="12.75">
      <c r="A19" s="14"/>
      <c r="B19" s="14"/>
      <c r="C19" s="15">
        <f>SUM(C7:C18)</f>
        <v>3084798.8999999994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tabSelected="1" zoomScalePageLayoutView="0" workbookViewId="0" topLeftCell="A1">
      <selection activeCell="A18" sqref="A18:J18"/>
    </sheetView>
  </sheetViews>
  <sheetFormatPr defaultColWidth="9.140625" defaultRowHeight="12.75"/>
  <cols>
    <col min="2" max="2" width="10.28125" style="0" customWidth="1"/>
    <col min="3" max="3" width="19.140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</cols>
  <sheetData>
    <row r="1" spans="1:20" ht="12.75">
      <c r="A1" s="14"/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/>
      <c r="R1">
        <f>+B7-1</f>
        <v>2012</v>
      </c>
      <c r="S1" t="s">
        <v>3</v>
      </c>
      <c r="T1">
        <f>+B7</f>
        <v>2013</v>
      </c>
    </row>
    <row r="2" spans="1:11" ht="12.75">
      <c r="A2" s="14"/>
      <c r="B2" s="14"/>
      <c r="C2" s="14" t="s">
        <v>45</v>
      </c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 t="s">
        <v>46</v>
      </c>
      <c r="D3" s="14"/>
      <c r="E3" s="14"/>
      <c r="F3" s="14"/>
      <c r="G3" s="14"/>
      <c r="H3" s="14"/>
      <c r="I3" s="14" t="s">
        <v>47</v>
      </c>
      <c r="J3" s="14" t="s">
        <v>48</v>
      </c>
      <c r="K3" s="14"/>
    </row>
    <row r="4" spans="1:11" ht="12.75">
      <c r="A4" s="14"/>
      <c r="B4" s="14"/>
      <c r="C4" s="14" t="s">
        <v>17</v>
      </c>
      <c r="D4" s="14"/>
      <c r="E4" s="14">
        <f>+B7</f>
        <v>2013</v>
      </c>
      <c r="F4" s="14" t="s">
        <v>3</v>
      </c>
      <c r="G4" s="14">
        <f>+B7+1</f>
        <v>2014</v>
      </c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 t="s">
        <v>49</v>
      </c>
      <c r="G5" s="14"/>
      <c r="H5" s="14"/>
      <c r="I5" s="14" t="s">
        <v>50</v>
      </c>
      <c r="J5" s="14" t="s">
        <v>23</v>
      </c>
      <c r="K5" s="14"/>
    </row>
    <row r="6" spans="1:11" ht="12.75">
      <c r="A6" s="14" t="s">
        <v>4</v>
      </c>
      <c r="B6" s="14" t="s">
        <v>14</v>
      </c>
      <c r="C6" s="14" t="s">
        <v>19</v>
      </c>
      <c r="D6" s="14" t="s">
        <v>6</v>
      </c>
      <c r="E6" s="14" t="s">
        <v>20</v>
      </c>
      <c r="F6" s="14" t="s">
        <v>8</v>
      </c>
      <c r="G6" s="14" t="s">
        <v>33</v>
      </c>
      <c r="H6" s="14"/>
      <c r="I6" s="14" t="s">
        <v>51</v>
      </c>
      <c r="J6" s="14" t="s">
        <v>52</v>
      </c>
      <c r="K6" s="14"/>
    </row>
    <row r="7" spans="1:26" ht="12.75">
      <c r="A7" s="45">
        <v>10</v>
      </c>
      <c r="B7" s="45">
        <v>2013</v>
      </c>
      <c r="C7" s="47">
        <v>1912833.37</v>
      </c>
      <c r="D7" s="47">
        <v>57385.0011</v>
      </c>
      <c r="E7" s="47">
        <v>1855448.3689000001</v>
      </c>
      <c r="F7" s="48">
        <v>0.22276631362377053</v>
      </c>
      <c r="G7" s="45">
        <v>11</v>
      </c>
      <c r="H7" s="45">
        <v>2013</v>
      </c>
      <c r="I7" s="47">
        <v>1577131.113565</v>
      </c>
      <c r="J7" s="47">
        <v>278317.255335</v>
      </c>
      <c r="N7" s="53">
        <v>0.0557</v>
      </c>
      <c r="P7">
        <f>IF(I7&gt;0,1,0)</f>
        <v>1</v>
      </c>
      <c r="Q7" s="25">
        <f>DATE(B7,A7,1)</f>
        <v>41548</v>
      </c>
      <c r="R7" s="23">
        <f aca="true" t="shared" si="0" ref="R7:R18">IF(E7&gt;0,Q7,"")</f>
        <v>41548</v>
      </c>
      <c r="T7" s="24">
        <f>IF(P7=1,(F7+1),"")</f>
        <v>1.2227663136237705</v>
      </c>
      <c r="U7" s="22">
        <f>IF(P7=1,C7/T7,"")</f>
        <v>1564349.09</v>
      </c>
      <c r="V7" s="22"/>
      <c r="X7" s="22">
        <f>IF(P7=1,E7/T7,"")</f>
        <v>1517418.6173</v>
      </c>
      <c r="Y7" s="22">
        <f>IF(P7=1,X7*0.85,"")</f>
        <v>1289805.824705</v>
      </c>
      <c r="Z7" s="22">
        <f>IF(P7=1,X7*0.15,"")</f>
        <v>227612.792595</v>
      </c>
    </row>
    <row r="8" spans="1:26" ht="12.75">
      <c r="A8" s="45">
        <v>11</v>
      </c>
      <c r="B8" s="45">
        <v>2013</v>
      </c>
      <c r="C8" s="47">
        <v>1463839.88</v>
      </c>
      <c r="D8" s="47">
        <v>43915.19639999999</v>
      </c>
      <c r="E8" s="47">
        <v>1419924.6835999999</v>
      </c>
      <c r="F8" s="48">
        <v>0.026231732838454036</v>
      </c>
      <c r="G8" s="45">
        <v>12</v>
      </c>
      <c r="H8" s="45">
        <v>2013</v>
      </c>
      <c r="I8" s="47">
        <v>1206935.98106</v>
      </c>
      <c r="J8" s="47">
        <v>212988.70253999997</v>
      </c>
      <c r="P8">
        <f aca="true" t="shared" si="1" ref="P8:P18">IF(I8&gt;0,1,0)</f>
        <v>1</v>
      </c>
      <c r="Q8" s="25">
        <f aca="true" t="shared" si="2" ref="Q8:Q18">DATE(B8,A8,1)</f>
        <v>41579</v>
      </c>
      <c r="R8" s="23">
        <f t="shared" si="0"/>
        <v>41579</v>
      </c>
      <c r="T8" s="24">
        <f aca="true" t="shared" si="3" ref="T8:T18">IF(P8=1,(F8+1),"")</f>
        <v>1.026231732838454</v>
      </c>
      <c r="U8" s="22">
        <f aca="true" t="shared" si="4" ref="U8:U18">IF(P8=1,C8/T8,"")</f>
        <v>1426422.35</v>
      </c>
      <c r="V8" s="22"/>
      <c r="X8" s="22">
        <f aca="true" t="shared" si="5" ref="X8:X18">IF(P8=1,E8/T8,"")</f>
        <v>1383629.6795</v>
      </c>
      <c r="Y8" s="22">
        <f aca="true" t="shared" si="6" ref="Y8:Y18">IF(P8=1,X8*0.85,"")</f>
        <v>1176085.2275750001</v>
      </c>
      <c r="Z8" s="22">
        <f aca="true" t="shared" si="7" ref="Z8:Z18">IF(P8=1,X8*0.15,"")</f>
        <v>207544.451925</v>
      </c>
    </row>
    <row r="9" spans="1:26" ht="12.75">
      <c r="A9" s="45">
        <v>12</v>
      </c>
      <c r="B9" s="45">
        <v>2013</v>
      </c>
      <c r="C9" s="47">
        <v>1650466.82</v>
      </c>
      <c r="D9" s="47">
        <v>49514.0046</v>
      </c>
      <c r="E9" s="47">
        <v>1600952.8154</v>
      </c>
      <c r="F9" s="48">
        <v>-0.04461347661806703</v>
      </c>
      <c r="G9" s="45">
        <v>1</v>
      </c>
      <c r="H9" s="45">
        <v>2014</v>
      </c>
      <c r="I9" s="47">
        <v>1360809.89309</v>
      </c>
      <c r="J9" s="47">
        <v>240142.92231</v>
      </c>
      <c r="P9">
        <f t="shared" si="1"/>
        <v>1</v>
      </c>
      <c r="Q9" s="25">
        <f t="shared" si="2"/>
        <v>41609</v>
      </c>
      <c r="R9" s="23">
        <f t="shared" si="0"/>
        <v>41609</v>
      </c>
      <c r="T9" s="24">
        <f t="shared" si="3"/>
        <v>0.955386523381933</v>
      </c>
      <c r="U9" s="22">
        <f t="shared" si="4"/>
        <v>1727538.31</v>
      </c>
      <c r="V9" s="22"/>
      <c r="X9" s="22">
        <f t="shared" si="5"/>
        <v>1675712.1607</v>
      </c>
      <c r="Y9" s="22">
        <f t="shared" si="6"/>
        <v>1424355.3365949998</v>
      </c>
      <c r="Z9" s="22">
        <f t="shared" si="7"/>
        <v>251356.82410499998</v>
      </c>
    </row>
    <row r="10" spans="1:26" ht="12.75">
      <c r="A10" s="45">
        <v>1</v>
      </c>
      <c r="B10" s="45">
        <v>2014</v>
      </c>
      <c r="C10" s="47">
        <v>2101176.83</v>
      </c>
      <c r="D10" s="47">
        <v>63035.3049</v>
      </c>
      <c r="E10" s="47">
        <v>2038141.5251</v>
      </c>
      <c r="F10" s="48">
        <v>0.11470221268335767</v>
      </c>
      <c r="G10" s="45">
        <v>2</v>
      </c>
      <c r="H10" s="45">
        <v>2014</v>
      </c>
      <c r="I10" s="47">
        <v>1732420.2963349998</v>
      </c>
      <c r="J10" s="47">
        <v>305721.228765</v>
      </c>
      <c r="P10">
        <f t="shared" si="1"/>
        <v>1</v>
      </c>
      <c r="Q10" s="25">
        <f t="shared" si="2"/>
        <v>41640</v>
      </c>
      <c r="R10" s="23">
        <f t="shared" si="0"/>
        <v>41640</v>
      </c>
      <c r="T10" s="24">
        <f t="shared" si="3"/>
        <v>1.1147022126833577</v>
      </c>
      <c r="U10" s="22">
        <f t="shared" si="4"/>
        <v>1884966.95</v>
      </c>
      <c r="V10" s="22"/>
      <c r="X10" s="22">
        <f t="shared" si="5"/>
        <v>1828417.9415</v>
      </c>
      <c r="Y10" s="22">
        <f t="shared" si="6"/>
        <v>1554155.250275</v>
      </c>
      <c r="Z10" s="22">
        <f t="shared" si="7"/>
        <v>274262.69122499996</v>
      </c>
    </row>
    <row r="11" spans="1:26" ht="12.75">
      <c r="A11" s="45">
        <v>2</v>
      </c>
      <c r="B11" s="45">
        <v>2014</v>
      </c>
      <c r="C11" s="47">
        <v>1781078.23</v>
      </c>
      <c r="D11" s="47">
        <v>53432.3469</v>
      </c>
      <c r="E11" s="47">
        <v>1727645.8831</v>
      </c>
      <c r="F11" s="48">
        <v>0.03750445318012141</v>
      </c>
      <c r="G11" s="45">
        <v>3</v>
      </c>
      <c r="H11" s="45">
        <v>2014</v>
      </c>
      <c r="I11" s="47">
        <v>1468499.000635</v>
      </c>
      <c r="J11" s="47">
        <v>259146.88246499997</v>
      </c>
      <c r="P11">
        <f t="shared" si="1"/>
        <v>1</v>
      </c>
      <c r="Q11" s="25">
        <f t="shared" si="2"/>
        <v>41671</v>
      </c>
      <c r="R11" s="23">
        <f t="shared" si="0"/>
        <v>41671</v>
      </c>
      <c r="T11" s="24">
        <f t="shared" si="3"/>
        <v>1.0375044531801214</v>
      </c>
      <c r="U11" s="22">
        <f t="shared" si="4"/>
        <v>1716694.54</v>
      </c>
      <c r="V11" s="22"/>
      <c r="X11" s="22">
        <f t="shared" si="5"/>
        <v>1665193.7038</v>
      </c>
      <c r="Y11" s="22">
        <f t="shared" si="6"/>
        <v>1415414.64823</v>
      </c>
      <c r="Z11" s="22">
        <f t="shared" si="7"/>
        <v>249779.05557</v>
      </c>
    </row>
    <row r="12" spans="1:26" ht="12.75">
      <c r="A12" s="45">
        <v>3</v>
      </c>
      <c r="B12" s="45">
        <v>2014</v>
      </c>
      <c r="C12" s="47">
        <v>1840059.5</v>
      </c>
      <c r="D12" s="47">
        <v>55201.784999999996</v>
      </c>
      <c r="E12" s="47">
        <v>1784857.715</v>
      </c>
      <c r="F12" s="48">
        <v>0.07395968874409498</v>
      </c>
      <c r="G12" s="45">
        <v>4</v>
      </c>
      <c r="H12" s="45">
        <v>2014</v>
      </c>
      <c r="I12" s="47">
        <v>1517129.05775</v>
      </c>
      <c r="J12" s="47">
        <v>267728.65725</v>
      </c>
      <c r="P12">
        <f t="shared" si="1"/>
        <v>1</v>
      </c>
      <c r="Q12" s="25">
        <f t="shared" si="2"/>
        <v>41699</v>
      </c>
      <c r="R12" s="23">
        <f t="shared" si="0"/>
        <v>41699</v>
      </c>
      <c r="T12" s="24">
        <f t="shared" si="3"/>
        <v>1.073959688744095</v>
      </c>
      <c r="U12" s="22">
        <f t="shared" si="4"/>
        <v>1713341.31</v>
      </c>
      <c r="V12" s="22"/>
      <c r="X12" s="22">
        <f t="shared" si="5"/>
        <v>1661941.0707</v>
      </c>
      <c r="Y12" s="22">
        <f t="shared" si="6"/>
        <v>1412649.910095</v>
      </c>
      <c r="Z12" s="22">
        <f t="shared" si="7"/>
        <v>249291.16060499998</v>
      </c>
    </row>
    <row r="13" spans="1:26" ht="12.75">
      <c r="A13" s="45">
        <v>4</v>
      </c>
      <c r="B13" s="45">
        <v>2014</v>
      </c>
      <c r="C13" s="47">
        <v>2250675.73</v>
      </c>
      <c r="D13" s="47">
        <v>67520.27189999999</v>
      </c>
      <c r="E13" s="47">
        <v>2183155.4581</v>
      </c>
      <c r="F13" s="48">
        <v>0.15848516067812213</v>
      </c>
      <c r="G13" s="45">
        <v>5</v>
      </c>
      <c r="H13" s="45">
        <v>2014</v>
      </c>
      <c r="I13" s="47">
        <v>1855682.1393849999</v>
      </c>
      <c r="J13" s="47">
        <v>327473.318715</v>
      </c>
      <c r="P13">
        <f t="shared" si="1"/>
        <v>1</v>
      </c>
      <c r="Q13" s="25">
        <f t="shared" si="2"/>
        <v>41730</v>
      </c>
      <c r="R13" s="23">
        <f t="shared" si="0"/>
        <v>41730</v>
      </c>
      <c r="T13" s="24">
        <f t="shared" si="3"/>
        <v>1.1584851606781221</v>
      </c>
      <c r="U13" s="22">
        <f t="shared" si="4"/>
        <v>1942774.7599999998</v>
      </c>
      <c r="V13" s="22">
        <f aca="true" t="shared" si="8" ref="V13:V18">IF(P13=1,U13*0.85,"")</f>
        <v>1651358.5459999999</v>
      </c>
      <c r="X13" s="22">
        <f t="shared" si="5"/>
        <v>1884491.5172</v>
      </c>
      <c r="Y13" s="22">
        <f t="shared" si="6"/>
        <v>1601817.78962</v>
      </c>
      <c r="Z13" s="22">
        <f t="shared" si="7"/>
        <v>282673.72757999995</v>
      </c>
    </row>
    <row r="14" spans="1:26" ht="12.75">
      <c r="A14" s="45">
        <v>5</v>
      </c>
      <c r="B14" s="45">
        <v>2014</v>
      </c>
      <c r="C14" s="47">
        <v>1981112.7</v>
      </c>
      <c r="D14" s="47">
        <v>59433.380999999994</v>
      </c>
      <c r="E14" s="47">
        <v>1921679.319</v>
      </c>
      <c r="F14" s="48">
        <v>0.17751564953200694</v>
      </c>
      <c r="G14" s="45">
        <v>6</v>
      </c>
      <c r="H14" s="45">
        <v>2014</v>
      </c>
      <c r="I14" s="47">
        <v>1633427.4211499998</v>
      </c>
      <c r="J14" s="47">
        <v>288251.89784999995</v>
      </c>
      <c r="P14">
        <f t="shared" si="1"/>
        <v>1</v>
      </c>
      <c r="Q14" s="25">
        <f t="shared" si="2"/>
        <v>41760</v>
      </c>
      <c r="R14" s="23">
        <f t="shared" si="0"/>
        <v>41760</v>
      </c>
      <c r="T14" s="24">
        <f t="shared" si="3"/>
        <v>1.177515649532007</v>
      </c>
      <c r="U14" s="22">
        <f t="shared" si="4"/>
        <v>1682451.27</v>
      </c>
      <c r="V14" s="22">
        <f t="shared" si="8"/>
        <v>1430083.5795</v>
      </c>
      <c r="X14" s="22">
        <f t="shared" si="5"/>
        <v>1631977.7319</v>
      </c>
      <c r="Y14" s="22">
        <f t="shared" si="6"/>
        <v>1387181.0721149999</v>
      </c>
      <c r="Z14" s="22">
        <f t="shared" si="7"/>
        <v>244796.659785</v>
      </c>
    </row>
    <row r="15" spans="1:26" ht="12.75">
      <c r="A15" s="45">
        <v>6</v>
      </c>
      <c r="B15" s="45">
        <v>2014</v>
      </c>
      <c r="C15" s="47">
        <v>1923860.95</v>
      </c>
      <c r="D15" s="47">
        <v>57715.828499999996</v>
      </c>
      <c r="E15" s="47">
        <v>1866145.1215</v>
      </c>
      <c r="F15" s="48">
        <v>0.014564156034454045</v>
      </c>
      <c r="G15" s="45">
        <v>7</v>
      </c>
      <c r="H15" s="45">
        <v>2014</v>
      </c>
      <c r="I15" s="47">
        <v>1586223.353275</v>
      </c>
      <c r="J15" s="47">
        <v>279921.76822499995</v>
      </c>
      <c r="P15">
        <f t="shared" si="1"/>
        <v>1</v>
      </c>
      <c r="Q15" s="25">
        <f t="shared" si="2"/>
        <v>41791</v>
      </c>
      <c r="R15" s="23">
        <f t="shared" si="0"/>
        <v>41791</v>
      </c>
      <c r="T15" s="24">
        <f t="shared" si="3"/>
        <v>1.014564156034454</v>
      </c>
      <c r="U15" s="22">
        <f t="shared" si="4"/>
        <v>1896243.76</v>
      </c>
      <c r="V15" s="22">
        <f t="shared" si="8"/>
        <v>1611807.196</v>
      </c>
      <c r="X15" s="22">
        <f t="shared" si="5"/>
        <v>1839356.4472</v>
      </c>
      <c r="Y15" s="22">
        <f t="shared" si="6"/>
        <v>1563452.98012</v>
      </c>
      <c r="Z15" s="22">
        <f t="shared" si="7"/>
        <v>275903.46708</v>
      </c>
    </row>
    <row r="16" spans="1:26" ht="12.75">
      <c r="A16" s="45">
        <v>7</v>
      </c>
      <c r="B16" s="45">
        <v>2014</v>
      </c>
      <c r="C16" s="47">
        <v>1826649.37</v>
      </c>
      <c r="D16" s="47">
        <v>54799.481100000005</v>
      </c>
      <c r="E16" s="47">
        <v>1771849.8889000001</v>
      </c>
      <c r="F16" s="48">
        <v>0.0848439482933614</v>
      </c>
      <c r="G16" s="45">
        <v>8</v>
      </c>
      <c r="H16" s="45">
        <v>2014</v>
      </c>
      <c r="I16" s="47">
        <v>1506072.4055650001</v>
      </c>
      <c r="J16" s="47">
        <v>265777.483335</v>
      </c>
      <c r="P16">
        <f t="shared" si="1"/>
        <v>1</v>
      </c>
      <c r="Q16" s="25">
        <f t="shared" si="2"/>
        <v>41821</v>
      </c>
      <c r="R16" s="23">
        <f t="shared" si="0"/>
        <v>41821</v>
      </c>
      <c r="T16" s="24">
        <f t="shared" si="3"/>
        <v>1.0848439482933614</v>
      </c>
      <c r="U16" s="22">
        <f t="shared" si="4"/>
        <v>1683789.98</v>
      </c>
      <c r="V16" s="22">
        <f t="shared" si="8"/>
        <v>1431221.483</v>
      </c>
      <c r="X16" s="22">
        <f t="shared" si="5"/>
        <v>1633276.2806000002</v>
      </c>
      <c r="Y16" s="22">
        <f t="shared" si="6"/>
        <v>1388284.8385100001</v>
      </c>
      <c r="Z16" s="22">
        <f t="shared" si="7"/>
        <v>244991.44209000003</v>
      </c>
    </row>
    <row r="17" spans="1:26" ht="12.75">
      <c r="A17" s="45">
        <v>8</v>
      </c>
      <c r="B17" s="45">
        <v>2014</v>
      </c>
      <c r="C17" s="47">
        <v>1545823.21</v>
      </c>
      <c r="D17" s="47">
        <v>46374.696299999996</v>
      </c>
      <c r="E17" s="47">
        <v>1499448.5137</v>
      </c>
      <c r="F17" s="48">
        <v>0.05113509836380392</v>
      </c>
      <c r="G17" s="45">
        <v>9</v>
      </c>
      <c r="H17" s="45">
        <v>2014</v>
      </c>
      <c r="I17" s="47">
        <v>1274531.236645</v>
      </c>
      <c r="J17" s="47">
        <v>224917.27705499998</v>
      </c>
      <c r="P17">
        <f t="shared" si="1"/>
        <v>1</v>
      </c>
      <c r="Q17" s="25">
        <f t="shared" si="2"/>
        <v>41852</v>
      </c>
      <c r="R17" s="23">
        <f t="shared" si="0"/>
        <v>41852</v>
      </c>
      <c r="T17" s="24">
        <f t="shared" si="3"/>
        <v>1.051135098363804</v>
      </c>
      <c r="U17" s="22">
        <f t="shared" si="4"/>
        <v>1470622.7700000003</v>
      </c>
      <c r="V17" s="22">
        <f t="shared" si="8"/>
        <v>1250029.3545000001</v>
      </c>
      <c r="X17" s="22">
        <f t="shared" si="5"/>
        <v>1426504.0869000002</v>
      </c>
      <c r="Y17" s="22">
        <f t="shared" si="6"/>
        <v>1212528.473865</v>
      </c>
      <c r="Z17" s="22">
        <f t="shared" si="7"/>
        <v>213975.61303500002</v>
      </c>
    </row>
    <row r="18" spans="1:26" ht="12.75">
      <c r="A18" s="45">
        <v>9</v>
      </c>
      <c r="B18" s="45">
        <v>2014</v>
      </c>
      <c r="C18" s="47">
        <v>1786260.76</v>
      </c>
      <c r="D18" s="47">
        <v>53587.8228</v>
      </c>
      <c r="E18" s="47">
        <v>1732672.9372</v>
      </c>
      <c r="F18" s="48">
        <v>0.24096382135494654</v>
      </c>
      <c r="G18" s="45">
        <v>10</v>
      </c>
      <c r="H18" s="45">
        <v>2014</v>
      </c>
      <c r="I18" s="47">
        <v>1472771.99662</v>
      </c>
      <c r="J18" s="47">
        <v>259900.94058</v>
      </c>
      <c r="P18">
        <f t="shared" si="1"/>
        <v>1</v>
      </c>
      <c r="Q18" s="25">
        <f t="shared" si="2"/>
        <v>41883</v>
      </c>
      <c r="R18" s="23">
        <f t="shared" si="0"/>
        <v>41883</v>
      </c>
      <c r="T18" s="24">
        <f t="shared" si="3"/>
        <v>1.2409638213549465</v>
      </c>
      <c r="U18" s="22">
        <f t="shared" si="4"/>
        <v>1439414.05</v>
      </c>
      <c r="V18" s="22">
        <f t="shared" si="8"/>
        <v>1223501.9425000001</v>
      </c>
      <c r="X18" s="22">
        <f t="shared" si="5"/>
        <v>1396231.6284999999</v>
      </c>
      <c r="Y18" s="22">
        <f t="shared" si="6"/>
        <v>1186796.884225</v>
      </c>
      <c r="Z18" s="22">
        <f t="shared" si="7"/>
        <v>209434.74427499998</v>
      </c>
    </row>
    <row r="19" spans="1:24" ht="12.75">
      <c r="A19" s="14"/>
      <c r="B19" s="14"/>
      <c r="C19" s="15">
        <f>SUM(C7:C18)</f>
        <v>22063837.350000005</v>
      </c>
      <c r="D19" s="15">
        <f>SUM(D7:D18)</f>
        <v>661915.1204999998</v>
      </c>
      <c r="E19" s="15">
        <f>SUM(E7:E18)</f>
        <v>21401922.2295</v>
      </c>
      <c r="F19" s="20">
        <f>(C19/U19)-1</f>
        <v>0.0950551076102717</v>
      </c>
      <c r="G19" s="14"/>
      <c r="H19" s="14"/>
      <c r="I19" s="15">
        <f>SUM(I7:I18)</f>
        <v>18191633.895075</v>
      </c>
      <c r="J19" s="15">
        <f>SUM(J7:J18)</f>
        <v>3210288.3344249995</v>
      </c>
      <c r="K19" s="14"/>
      <c r="P19">
        <f>SUM(P7:P18)</f>
        <v>12</v>
      </c>
      <c r="R19" s="2">
        <f>(F7+F8+F9+F10+F11+F12+F13+F14+F15+F16+F17+F18)/P19</f>
        <v>0.09650489655903555</v>
      </c>
      <c r="U19" s="22">
        <f>SUM(U7:U18)</f>
        <v>20148609.14</v>
      </c>
      <c r="X19" s="22">
        <f>IF(P19=1,F19/W19,"")</f>
      </c>
    </row>
    <row r="51" spans="1:11" ht="12.75">
      <c r="A51" s="14"/>
      <c r="B51" s="14"/>
      <c r="C51" s="14" t="s">
        <v>0</v>
      </c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 t="s">
        <v>45</v>
      </c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 t="s">
        <v>46</v>
      </c>
      <c r="D53" s="14"/>
      <c r="E53" s="14"/>
      <c r="F53" s="14"/>
      <c r="G53" s="14"/>
      <c r="H53" s="14"/>
      <c r="I53" s="14" t="s">
        <v>47</v>
      </c>
      <c r="J53" s="14" t="s">
        <v>48</v>
      </c>
      <c r="K53" s="14"/>
    </row>
    <row r="54" spans="1:11" ht="12.75">
      <c r="A54" s="14"/>
      <c r="B54" s="14"/>
      <c r="C54" s="14" t="s">
        <v>17</v>
      </c>
      <c r="D54" s="14"/>
      <c r="E54" s="14">
        <f>+E4</f>
        <v>2013</v>
      </c>
      <c r="F54" s="14" t="s">
        <v>3</v>
      </c>
      <c r="G54" s="14">
        <f>+E4+1</f>
        <v>2014</v>
      </c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 t="s">
        <v>49</v>
      </c>
      <c r="G55" s="14"/>
      <c r="H55" s="14"/>
      <c r="I55" s="14" t="s">
        <v>50</v>
      </c>
      <c r="J55" s="14" t="s">
        <v>23</v>
      </c>
      <c r="K55" s="14"/>
    </row>
    <row r="56" spans="1:11" ht="12.75">
      <c r="A56" s="14" t="s">
        <v>56</v>
      </c>
      <c r="B56" s="14" t="s">
        <v>15</v>
      </c>
      <c r="C56" s="14" t="s">
        <v>19</v>
      </c>
      <c r="D56" s="14" t="s">
        <v>6</v>
      </c>
      <c r="E56" s="14" t="s">
        <v>20</v>
      </c>
      <c r="F56" s="14" t="s">
        <v>8</v>
      </c>
      <c r="G56" s="14" t="s">
        <v>61</v>
      </c>
      <c r="H56" s="14" t="s">
        <v>15</v>
      </c>
      <c r="I56" s="14" t="s">
        <v>51</v>
      </c>
      <c r="J56" s="14" t="s">
        <v>52</v>
      </c>
      <c r="K56" s="14"/>
    </row>
    <row r="57" spans="1:16" ht="12.75">
      <c r="A57">
        <v>1</v>
      </c>
      <c r="B57" t="s">
        <v>69</v>
      </c>
      <c r="C57" s="26">
        <f>+C7+C8+C9</f>
        <v>5027140.07</v>
      </c>
      <c r="D57" s="26">
        <f>+D7+D8+D9</f>
        <v>150814.2021</v>
      </c>
      <c r="E57" s="26">
        <f>+E7+E8+E9</f>
        <v>4876325.8679</v>
      </c>
      <c r="F57" s="34">
        <f>(F7+F8+F9)/P57</f>
        <v>0.06812818994805252</v>
      </c>
      <c r="G57">
        <f aca="true" t="shared" si="9" ref="G57:H60">+A57</f>
        <v>1</v>
      </c>
      <c r="H57" s="41" t="str">
        <f t="shared" si="9"/>
        <v>2008-2009</v>
      </c>
      <c r="I57" s="26">
        <f>+I7+I8+I9</f>
        <v>4144876.987715</v>
      </c>
      <c r="J57" s="26">
        <f>+J7+J8+J9</f>
        <v>731448.8801849999</v>
      </c>
      <c r="P57" s="43">
        <f>+P7+P8+P9</f>
        <v>3</v>
      </c>
    </row>
    <row r="58" spans="1:16" ht="12.75">
      <c r="A58">
        <v>2</v>
      </c>
      <c r="B58" t="str">
        <f>+B57</f>
        <v>2008-2009</v>
      </c>
      <c r="C58" s="26">
        <f>+C10+C11+C12</f>
        <v>5722314.5600000005</v>
      </c>
      <c r="D58" s="26">
        <f>+D10+D11+D12</f>
        <v>171669.4368</v>
      </c>
      <c r="E58" s="26">
        <f>+E10+E11+E12</f>
        <v>5550645.1232</v>
      </c>
      <c r="F58" s="34">
        <f>(F10+F11+F12)/P58</f>
        <v>0.07538878486919136</v>
      </c>
      <c r="G58">
        <f t="shared" si="9"/>
        <v>2</v>
      </c>
      <c r="H58" s="41" t="str">
        <f t="shared" si="9"/>
        <v>2008-2009</v>
      </c>
      <c r="I58" s="26">
        <f>+I10+I11+I12</f>
        <v>4718048.354719999</v>
      </c>
      <c r="J58" s="26">
        <f>+J10+J11+J12</f>
        <v>832596.7684799999</v>
      </c>
      <c r="P58" s="43">
        <f>+P10+P11+P12</f>
        <v>3</v>
      </c>
    </row>
    <row r="59" spans="1:16" ht="12.75">
      <c r="A59">
        <v>3</v>
      </c>
      <c r="B59" t="str">
        <f>+B57</f>
        <v>2008-2009</v>
      </c>
      <c r="C59" s="26">
        <f>+C13+C14+C15</f>
        <v>6155649.38</v>
      </c>
      <c r="D59" s="26">
        <f>+D13+D14+D15</f>
        <v>184669.4814</v>
      </c>
      <c r="E59" s="26">
        <f>+E13+E14+E15</f>
        <v>5970979.898599999</v>
      </c>
      <c r="F59" s="34">
        <f>(F13+F14+F15)/P59</f>
        <v>0.11685498874819437</v>
      </c>
      <c r="G59">
        <f t="shared" si="9"/>
        <v>3</v>
      </c>
      <c r="H59" s="41" t="str">
        <f t="shared" si="9"/>
        <v>2008-2009</v>
      </c>
      <c r="I59" s="26">
        <f>+I13+I14+I15</f>
        <v>5075332.91381</v>
      </c>
      <c r="J59" s="26">
        <f>+J13+J14+J15</f>
        <v>895646.9847899999</v>
      </c>
      <c r="P59" s="43">
        <f>+P13+P14+P15</f>
        <v>3</v>
      </c>
    </row>
    <row r="60" spans="1:16" ht="12.75">
      <c r="A60">
        <v>4</v>
      </c>
      <c r="B60" t="str">
        <f>+B57</f>
        <v>2008-2009</v>
      </c>
      <c r="C60" s="26">
        <f>+C16+C17+C18</f>
        <v>5158733.34</v>
      </c>
      <c r="D60" s="26">
        <f>+D16+D17+D18</f>
        <v>154762.0002</v>
      </c>
      <c r="E60" s="26">
        <f>+E16+E17+E18</f>
        <v>5003971.3398</v>
      </c>
      <c r="F60" s="34">
        <f>(F16+F17+F18)/P60</f>
        <v>0.12564762267070395</v>
      </c>
      <c r="G60">
        <f t="shared" si="9"/>
        <v>4</v>
      </c>
      <c r="H60" s="41" t="str">
        <f t="shared" si="9"/>
        <v>2008-2009</v>
      </c>
      <c r="I60" s="26">
        <f>+I16+I17+I18</f>
        <v>4253375.638830001</v>
      </c>
      <c r="J60" s="26">
        <f>+J16+J17+J18</f>
        <v>750595.7009699999</v>
      </c>
      <c r="P60" s="43">
        <f>+P16+P17+P18</f>
        <v>3</v>
      </c>
    </row>
    <row r="61" spans="1:10" ht="12.75">
      <c r="A61" s="14" t="s">
        <v>54</v>
      </c>
      <c r="B61" s="14"/>
      <c r="C61" s="42">
        <f>SUM(C57:C60)</f>
        <v>22063837.35</v>
      </c>
      <c r="D61" s="42">
        <f>SUM(D57:D60)</f>
        <v>661915.1205</v>
      </c>
      <c r="E61" s="42">
        <f>SUM(E57:E60)</f>
        <v>21401922.2295</v>
      </c>
      <c r="F61" s="20">
        <f>+F19</f>
        <v>0.0950551076102717</v>
      </c>
      <c r="G61" s="14"/>
      <c r="H61" s="14"/>
      <c r="I61" s="42">
        <f>SUM(I57:I60)</f>
        <v>18191633.895075</v>
      </c>
      <c r="J61" s="42">
        <f>SUM(J57:J60)</f>
        <v>3210288.3344249995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2010-09-28T15:58:49Z</cp:lastPrinted>
  <dcterms:created xsi:type="dcterms:W3CDTF">1996-10-14T23:33:28Z</dcterms:created>
  <dcterms:modified xsi:type="dcterms:W3CDTF">2014-10-06T17:00:28Z</dcterms:modified>
  <cp:category/>
  <cp:version/>
  <cp:contentType/>
  <cp:contentStatus/>
</cp:coreProperties>
</file>