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4000" windowHeight="15435" tabRatio="941" activeTab="0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SlotMachineTable" sheetId="5" r:id="rId5"/>
    <sheet name="HomelessTaxTable" sheetId="6" r:id="rId6"/>
    <sheet name="MonthlyTotals" sheetId="7" r:id="rId7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'MonthlyTotals'!$A$3:$H$11</definedName>
    <definedName name="_xlnm.Print_Area" localSheetId="0">'ConventionTaxTable'!$A$8:$H$8</definedName>
    <definedName name="_xlnm.Print_Area" localSheetId="3">'FoodandBeverageTaxTable'!$E$6:$E$17</definedName>
    <definedName name="_xlnm.Print_Area" localSheetId="5">'HomelessTaxTable'!$E$7:$E$18</definedName>
    <definedName name="_xlnm.Print_Area" localSheetId="6">'MonthlyTotals'!$A$3:$H$11</definedName>
    <definedName name="_xlnm.Print_Area" localSheetId="2">'SportsTaxTable'!$E$6:$E$17</definedName>
    <definedName name="_xlnm.Print_Area" localSheetId="1">'TouristTaxTable'!$E$6:$E$17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'MonthlyTotals'!$A$2:$H$12</definedName>
  </definedNames>
  <calcPr fullCalcOnLoad="1"/>
</workbook>
</file>

<file path=xl/sharedStrings.xml><?xml version="1.0" encoding="utf-8"?>
<sst xmlns="http://schemas.openxmlformats.org/spreadsheetml/2006/main" count="257" uniqueCount="90">
  <si>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</si>
  <si>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</si>
  <si>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</si>
  <si>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</si>
  <si>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</si>
  <si>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</si>
  <si>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</si>
  <si>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</si>
  <si>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</si>
  <si>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</si>
  <si>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</si>
  <si>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</si>
  <si>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</si>
  <si>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</si>
  <si>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</si>
  <si>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</si>
  <si>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</si>
  <si>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</si>
  <si>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</si>
  <si>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</si>
  <si>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</si>
  <si>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</si>
  <si>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</si>
  <si>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</si>
  <si>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</si>
  <si>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</si>
  <si>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</si>
  <si>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</si>
  <si>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</si>
  <si>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</si>
  <si>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</si>
  <si>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</si>
  <si>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</si>
  <si>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</si>
  <si>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</si>
  <si>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</si>
  <si>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</si>
  <si>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</si>
  <si>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</si>
  <si>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</si>
  <si>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</si>
  <si>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</si>
  <si>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</si>
  <si>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</si>
  <si>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</si>
  <si>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</si>
  <si>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</si>
  <si>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</si>
  <si>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</si>
  <si>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</si>
  <si>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</si>
  <si>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</si>
  <si>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</si>
  <si>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</si>
  <si>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 xml:space="preserve">Tourist Tax (Transient Taxes) </t>
  </si>
  <si>
    <t>Convention Tax</t>
  </si>
  <si>
    <t>This Year vs. Last Year</t>
  </si>
  <si>
    <t>This Year vs. Two Years Ago</t>
  </si>
  <si>
    <t>Tourist Tax (Food and Bev.)</t>
  </si>
  <si>
    <t>Homeless Taxes</t>
  </si>
  <si>
    <t>Last Year vs. Two Years Ago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</si>
  <si>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</si>
  <si>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</si>
  <si>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</si>
  <si>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</si>
  <si>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</si>
  <si>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</si>
  <si>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</si>
  <si>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</si>
  <si>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</si>
  <si>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</si>
  <si>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Rooms</t>
  </si>
  <si>
    <t>Food &amp; Bev</t>
  </si>
  <si>
    <t>.</t>
  </si>
  <si>
    <t>Subfund 162</t>
  </si>
  <si>
    <t xml:space="preserve">Distribution to </t>
  </si>
  <si>
    <t>Cultural Affiars</t>
  </si>
  <si>
    <t>Miami Dade</t>
  </si>
  <si>
    <t>9.04%</t>
  </si>
  <si>
    <t>2.86%</t>
  </si>
  <si>
    <t>-17.64%</t>
  </si>
  <si>
    <t>3.25%</t>
  </si>
  <si>
    <t>-24.47%</t>
  </si>
  <si>
    <t>0.38%</t>
  </si>
  <si>
    <t>Metropolitan Dade County - Slot Machine Tax</t>
  </si>
  <si>
    <t xml:space="preserve">1 1/2 % Tax </t>
  </si>
  <si>
    <t>Fiscal Year</t>
  </si>
  <si>
    <t>Total Sub 152</t>
  </si>
  <si>
    <t>Minus County Support</t>
  </si>
  <si>
    <t>TDC Fixed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</si>
</sst>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  <numFmt numFmtId="182" formatCode="#,##0.00000000000000"/>
    <numFmt numFmtId="183" formatCode="\$#,##0.00"/>
  </numFmts>
  <fonts count="71">
    <font>
      <sz val="10"/>
      <name val="Arial"/>
      <family val="0"/>
    </font>
    <font>
      <b/>
      <sz val="10"/>
      <name val="Arial"/>
      <family val="2"/>
    </font>
    <font>
      <sz val="8"/>
      <color indexed="8"/>
      <name val="MS Sans Serif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name val="Arial"/>
      <family val="2"/>
    </font>
    <font>
      <sz val="23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sz val="21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2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  <font>
      <b/>
      <sz val="21"/>
      <color indexed="8"/>
      <name val="Arial"/>
      <family val="0"/>
    </font>
    <font>
      <b/>
      <sz val="2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8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0" fontId="0" fillId="35" borderId="0" xfId="0" applyFill="1" applyAlignment="1">
      <alignment/>
    </xf>
    <xf numFmtId="8" fontId="0" fillId="35" borderId="0" xfId="0" applyNumberFormat="1" applyFill="1" applyAlignment="1">
      <alignment/>
    </xf>
    <xf numFmtId="10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8" fontId="0" fillId="38" borderId="0" xfId="0" applyNumberFormat="1" applyFill="1" applyAlignment="1">
      <alignment/>
    </xf>
    <xf numFmtId="0" fontId="1" fillId="37" borderId="0" xfId="0" applyFont="1" applyFill="1" applyAlignment="1">
      <alignment/>
    </xf>
    <xf numFmtId="0" fontId="0" fillId="39" borderId="0" xfId="0" applyFill="1" applyAlignment="1">
      <alignment/>
    </xf>
    <xf numFmtId="8" fontId="0" fillId="39" borderId="0" xfId="0" applyNumberFormat="1" applyFill="1" applyAlignment="1">
      <alignment/>
    </xf>
    <xf numFmtId="10" fontId="0" fillId="39" borderId="0" xfId="0" applyNumberFormat="1" applyFill="1" applyAlignment="1">
      <alignment/>
    </xf>
    <xf numFmtId="10" fontId="0" fillId="38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8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40" borderId="10" xfId="0" applyFill="1" applyBorder="1" applyAlignment="1">
      <alignment/>
    </xf>
    <xf numFmtId="0" fontId="3" fillId="0" borderId="0" xfId="0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0" fillId="34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165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65" fontId="0" fillId="40" borderId="10" xfId="0" applyNumberFormat="1" applyFill="1" applyBorder="1" applyAlignment="1">
      <alignment/>
    </xf>
    <xf numFmtId="0" fontId="5" fillId="0" borderId="0" xfId="0" applyFont="1" applyAlignment="1">
      <alignment/>
    </xf>
    <xf numFmtId="165" fontId="0" fillId="3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40" borderId="11" xfId="0" applyFill="1" applyBorder="1" applyAlignment="1">
      <alignment/>
    </xf>
    <xf numFmtId="4" fontId="0" fillId="0" borderId="0" xfId="0" applyNumberFormat="1" applyAlignment="1">
      <alignment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2" fillId="41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4" fontId="0" fillId="37" borderId="0" xfId="0" applyNumberFormat="1" applyFill="1" applyAlignment="1">
      <alignment/>
    </xf>
    <xf numFmtId="166" fontId="9" fillId="37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10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175" fontId="70" fillId="0" borderId="0" xfId="0" applyNumberFormat="1" applyFont="1" applyFill="1" applyAlignment="1">
      <alignment horizontal="right"/>
    </xf>
    <xf numFmtId="165" fontId="70" fillId="0" borderId="0" xfId="0" applyNumberFormat="1" applyFont="1" applyAlignment="1">
      <alignment/>
    </xf>
    <xf numFmtId="167" fontId="70" fillId="0" borderId="0" xfId="0" applyNumberFormat="1" applyFont="1" applyAlignment="1">
      <alignment/>
    </xf>
    <xf numFmtId="0" fontId="70" fillId="0" borderId="0" xfId="0" applyNumberFormat="1" applyFont="1" applyAlignment="1">
      <alignment/>
    </xf>
    <xf numFmtId="0" fontId="70" fillId="40" borderId="0" xfId="0" applyFont="1" applyFill="1" applyAlignment="1">
      <alignment/>
    </xf>
    <xf numFmtId="169" fontId="70" fillId="0" borderId="0" xfId="0" applyNumberFormat="1" applyFont="1" applyAlignment="1">
      <alignment/>
    </xf>
    <xf numFmtId="166" fontId="70" fillId="0" borderId="0" xfId="0" applyNumberFormat="1" applyFont="1" applyAlignment="1">
      <alignment/>
    </xf>
    <xf numFmtId="10" fontId="70" fillId="0" borderId="0" xfId="0" applyNumberFormat="1" applyFont="1" applyAlignment="1">
      <alignment/>
    </xf>
    <xf numFmtId="164" fontId="70" fillId="0" borderId="0" xfId="0" applyNumberFormat="1" applyFont="1" applyAlignment="1">
      <alignment/>
    </xf>
    <xf numFmtId="175" fontId="70" fillId="0" borderId="0" xfId="0" applyNumberFormat="1" applyFont="1" applyAlignment="1">
      <alignment/>
    </xf>
    <xf numFmtId="2" fontId="7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575"/>
          <c:w val="0.803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/>
            </c:strRef>
          </c:cat>
          <c:val>
            <c:numRef>
              <c:f>ConventionTaxTable!$C$6:$C$17</c:f>
              <c:numCache/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/>
            </c:numRef>
          </c:val>
        </c:ser>
        <c:axId val="12911905"/>
        <c:axId val="49098282"/>
      </c:barChart>
      <c:dateAx>
        <c:axId val="12911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1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04575"/>
          <c:w val="0.081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125"/>
          <c:w val="0.83575"/>
          <c:h val="0.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/>
            </c:strRef>
          </c:cat>
          <c:val>
            <c:numRef>
              <c:f>TouristTaxTable!$C$6:$C$17</c:f>
              <c:numCache/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/>
            </c:numRef>
          </c:val>
        </c:ser>
        <c:axId val="39231355"/>
        <c:axId val="17537876"/>
      </c:barChart>
      <c:date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1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37876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06175"/>
          <c:w val="0.120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85"/>
          <c:w val="0.75875"/>
          <c:h val="0.6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/>
            </c:strRef>
          </c:cat>
          <c:val>
            <c:numRef>
              <c:f>SportsTaxTable!$C$6:$C$17</c:f>
              <c:numCache/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/>
            </c:numRef>
          </c:val>
        </c:ser>
        <c:axId val="23623157"/>
        <c:axId val="11281822"/>
      </c:barChart>
      <c:date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336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3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325"/>
          <c:y val="0.06875"/>
          <c:w val="0.139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995"/>
          <c:w val="0.78175"/>
          <c:h val="0.6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34427535"/>
        <c:axId val="41412360"/>
      </c:barChart>
      <c:date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.03275"/>
          <c:w val="0.115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Slot Machine Collections</a:t>
            </a:r>
          </a:p>
        </c:rich>
      </c:tx>
      <c:layout>
        <c:manualLayout>
          <c:xMode val="factor"/>
          <c:yMode val="factor"/>
          <c:x val="0.0082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25"/>
          <c:w val="0.8567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SlotMachineTable!$C$4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SlotMachineTable!$P$6:$P$17</c:f>
              <c:strCache/>
            </c:strRef>
          </c:cat>
          <c:val>
            <c:numRef>
              <c:f>SlotMachineTable!$C$6:$C$17</c:f>
              <c:numCache/>
            </c:numRef>
          </c:val>
        </c:ser>
        <c:ser>
          <c:idx val="1"/>
          <c:order val="1"/>
          <c:tx>
            <c:strRef>
              <c:f>SlotMachineTable!$J$4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.0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SlotMachineTable!$I$6:$I$17</c:f>
              <c:numCache/>
            </c:numRef>
          </c:val>
        </c:ser>
        <c:axId val="37166921"/>
        <c:axId val="66066834"/>
      </c:barChart>
      <c:dateAx>
        <c:axId val="37166921"/>
        <c:scaling>
          <c:orientation val="minMax"/>
        </c:scaling>
        <c:axPos val="b"/>
        <c:delete val="0"/>
        <c:numFmt formatCode="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825"/>
          <c:y val="0.44475"/>
          <c:w val="0.1205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115"/>
          <c:w val="0.791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2015 - 2016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/>
            </c:strRef>
          </c:cat>
          <c:val>
            <c:numRef>
              <c:f>HomelessTaxTable!$C$7:$C$18</c:f>
              <c:numCache/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2014 - 2015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/>
            </c:numRef>
          </c:val>
        </c:ser>
        <c:axId val="57730595"/>
        <c:axId val="49813308"/>
      </c:barChart>
      <c:date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13308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30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0315"/>
          <c:w val="0.095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Collection Summary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085"/>
          <c:w val="0.866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MonthlyTotals!$A$15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MonthlyTotals!$B$15:$H$15</c:f>
              <c:numCache/>
            </c:numRef>
          </c:val>
        </c:ser>
        <c:ser>
          <c:idx val="1"/>
          <c:order val="1"/>
          <c:tx>
            <c:strRef>
              <c:f>MonthlyTotals!$A$16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MonthlyTotals!$B$16:$H$16</c:f>
              <c:numCache/>
            </c:numRef>
          </c:val>
        </c:ser>
        <c:ser>
          <c:idx val="2"/>
          <c:order val="2"/>
          <c:tx>
            <c:strRef>
              <c:f>MonthlyTotals!$A$17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MonthlyTotals!$B$14:$H$14</c:f>
              <c:strCache/>
            </c:strRef>
          </c:cat>
          <c:val>
            <c:numRef>
              <c:f>MonthlyTotals!$B$17:$H$17</c:f>
              <c:numCache/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Type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5"/>
          <c:y val="0.02975"/>
          <c:w val="0.145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41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6676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21</xdr:row>
      <xdr:rowOff>28575</xdr:rowOff>
    </xdr:from>
    <xdr:to>
      <xdr:col>8</xdr:col>
      <xdr:colOff>257175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238125" y="3429000"/>
        <a:ext cx="7048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8</xdr:col>
      <xdr:colOff>219075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419350"/>
        <a:ext cx="89820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1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77" bestFit="1" customWidth="1"/>
  </cols>
  <sheetData>
    <row r="1" spans="1:23" ht="12.75">
      <c r="A1" s="3"/>
      <c r="B1" s="3"/>
      <c r="C1" s="3" t="s">
        <v>0</v>
      </c>
      <c r="D1" s="3"/>
      <c r="E1" s="3"/>
      <c r="F1" s="3"/>
      <c r="G1" s="3"/>
      <c r="H1" s="3"/>
      <c r="U1" s="77">
        <f>+D3-1</f>
        <v>2014</v>
      </c>
      <c r="V1" t="s">
        <v>3</v>
      </c>
      <c r="W1">
        <f>+D3</f>
        <v>2015</v>
      </c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>
      <c r="A3" s="3" t="s">
        <v>2</v>
      </c>
      <c r="B3" s="3"/>
      <c r="C3" s="3"/>
      <c r="D3" s="3">
        <f>+B6</f>
        <v>2015</v>
      </c>
      <c r="E3" s="3" t="s">
        <v>3</v>
      </c>
      <c r="F3" s="3">
        <f>+B6+1</f>
        <v>2016</v>
      </c>
      <c r="G3" s="3"/>
      <c r="H3" s="3"/>
    </row>
    <row r="4" spans="1:22" ht="12.75">
      <c r="A4" t="s">
        <v>4</v>
      </c>
      <c r="C4" t="s">
        <v>5</v>
      </c>
      <c r="D4" t="s">
        <v>6</v>
      </c>
      <c r="E4" t="s">
        <v>75</v>
      </c>
      <c r="F4" t="s">
        <v>8</v>
      </c>
      <c r="G4" t="s">
        <v>9</v>
      </c>
      <c r="N4" s="77"/>
      <c r="O4" s="77"/>
      <c r="P4" s="77"/>
      <c r="Q4" s="77"/>
      <c r="R4" s="77"/>
      <c r="S4" s="77"/>
      <c r="T4" s="77"/>
      <c r="V4" s="77"/>
    </row>
    <row r="5" spans="1:22" ht="12.75">
      <c r="A5" t="s">
        <v>14</v>
      </c>
      <c r="B5" t="s">
        <v>15</v>
      </c>
      <c r="E5" t="s">
        <v>74</v>
      </c>
      <c r="G5" t="s">
        <v>14</v>
      </c>
      <c r="H5" t="s">
        <v>15</v>
      </c>
      <c r="N5" s="77"/>
      <c r="O5" s="77"/>
      <c r="P5" s="77"/>
      <c r="Q5" s="77"/>
      <c r="R5" s="77"/>
      <c r="S5" s="77"/>
      <c r="T5" s="77"/>
      <c r="V5" s="77"/>
    </row>
    <row r="6" spans="1:22" ht="12.75">
      <c r="A6" s="45">
        <v>10</v>
      </c>
      <c r="B6" s="45">
        <v>2015</v>
      </c>
      <c r="C6" s="47">
        <v>4416487.05</v>
      </c>
      <c r="D6" s="47">
        <v>88329.74</v>
      </c>
      <c r="E6" s="47">
        <f>4416587.05-88329.74</f>
        <v>4328257.31</v>
      </c>
      <c r="F6" s="48">
        <v>0.13565728006033728</v>
      </c>
      <c r="G6" s="45">
        <v>11</v>
      </c>
      <c r="H6" s="45">
        <v>2015</v>
      </c>
      <c r="I6" s="47"/>
      <c r="J6" s="47"/>
      <c r="K6" s="47"/>
      <c r="L6" s="47"/>
      <c r="N6" s="77"/>
      <c r="O6" s="77">
        <f>IF(A6&gt;0,1,0)</f>
        <v>1</v>
      </c>
      <c r="P6" s="80">
        <f>IF(O6=1,DATE(B6,A6,1),"")</f>
        <v>42278</v>
      </c>
      <c r="Q6" s="77"/>
      <c r="R6" s="77"/>
      <c r="S6" s="77"/>
      <c r="T6" s="83">
        <f>IF(O6=1,(F6+1),0)</f>
        <v>1.1356572800603373</v>
      </c>
      <c r="U6" s="84">
        <f>IF(O6=1,C6/T6,0)</f>
        <v>3888925.9352657455</v>
      </c>
      <c r="V6" s="77"/>
    </row>
    <row r="7" spans="1:22" ht="12.75">
      <c r="A7" s="45">
        <v>11</v>
      </c>
      <c r="B7" s="45">
        <v>2015</v>
      </c>
      <c r="C7" s="47">
        <v>5131173.83</v>
      </c>
      <c r="D7" s="47">
        <v>102623.47660000001</v>
      </c>
      <c r="E7" s="47">
        <v>5028550.3534</v>
      </c>
      <c r="F7" s="48">
        <v>0.12419022458638351</v>
      </c>
      <c r="G7" s="45">
        <v>12</v>
      </c>
      <c r="H7" s="45">
        <v>2015</v>
      </c>
      <c r="I7" s="29"/>
      <c r="J7" s="29"/>
      <c r="K7" s="29"/>
      <c r="L7" s="29"/>
      <c r="N7" s="77"/>
      <c r="O7" s="77">
        <f aca="true" t="shared" si="0" ref="O7:O17">IF(A7&gt;0,1,0)</f>
        <v>1</v>
      </c>
      <c r="P7" s="80">
        <f aca="true" t="shared" si="1" ref="P7:P17">IF(O7=1,DATE(B7,A7,1),"")</f>
        <v>42309</v>
      </c>
      <c r="Q7" s="77"/>
      <c r="R7" s="77"/>
      <c r="S7" s="77"/>
      <c r="T7" s="83">
        <f>IF(O7=1,(F7+1),0)</f>
        <v>1.1241902245863835</v>
      </c>
      <c r="U7" s="84">
        <f aca="true" t="shared" si="2" ref="U7:U17">IF(O7=1,C7/T7,0)</f>
        <v>4564328.81</v>
      </c>
      <c r="V7" s="77"/>
    </row>
    <row r="8" spans="1:22" ht="12.75">
      <c r="A8" s="45">
        <v>12</v>
      </c>
      <c r="B8" s="45">
        <v>2015</v>
      </c>
      <c r="C8" s="47">
        <v>6330845.47</v>
      </c>
      <c r="D8" s="47">
        <v>126616.9094</v>
      </c>
      <c r="E8" s="47">
        <v>6204228.5605999995</v>
      </c>
      <c r="F8" s="48">
        <v>0.07452924638647795</v>
      </c>
      <c r="G8" s="45">
        <v>1</v>
      </c>
      <c r="H8" s="45">
        <v>2016</v>
      </c>
      <c r="I8" s="29"/>
      <c r="J8" s="29"/>
      <c r="K8" s="29"/>
      <c r="L8" s="29"/>
      <c r="N8" s="77"/>
      <c r="O8" s="77">
        <f>IF(A8&gt;0,1,0)</f>
        <v>1</v>
      </c>
      <c r="P8" s="80">
        <f>IF(O8=1,DATE(B8,A8,1),"")</f>
        <v>42339</v>
      </c>
      <c r="Q8" s="77"/>
      <c r="R8" s="77"/>
      <c r="S8" s="77"/>
      <c r="T8" s="83">
        <f aca="true" t="shared" si="3" ref="T8:T17">IF(O8=1,(F8+1),0)</f>
        <v>1.074529246386478</v>
      </c>
      <c r="U8" s="84">
        <f t="shared" si="2"/>
        <v>5891738.63</v>
      </c>
      <c r="V8" s="77"/>
    </row>
    <row r="9" spans="1:22" ht="12.75">
      <c r="A9" s="45">
        <v>1</v>
      </c>
      <c r="B9" s="45">
        <v>2016</v>
      </c>
      <c r="C9" s="47">
        <v>8008674.53</v>
      </c>
      <c r="D9" s="47">
        <v>160173.49060000002</v>
      </c>
      <c r="E9" s="47">
        <v>7848501.0394</v>
      </c>
      <c r="F9" s="48">
        <v>0.05337561733062168</v>
      </c>
      <c r="G9" s="45">
        <v>2</v>
      </c>
      <c r="H9" s="45">
        <v>2016</v>
      </c>
      <c r="I9" s="29"/>
      <c r="J9" s="29"/>
      <c r="K9" s="29"/>
      <c r="L9" s="29"/>
      <c r="N9" s="77"/>
      <c r="O9" s="77">
        <f t="shared" si="0"/>
        <v>1</v>
      </c>
      <c r="P9" s="80">
        <f t="shared" si="1"/>
        <v>42370</v>
      </c>
      <c r="Q9" s="77"/>
      <c r="R9" s="77"/>
      <c r="S9" s="77"/>
      <c r="T9" s="83">
        <f t="shared" si="3"/>
        <v>1.0533756173306217</v>
      </c>
      <c r="U9" s="84">
        <f t="shared" si="2"/>
        <v>7602866.819999999</v>
      </c>
      <c r="V9" s="77"/>
    </row>
    <row r="10" spans="1:22" ht="12.75">
      <c r="A10" s="45">
        <v>2</v>
      </c>
      <c r="B10" s="45">
        <v>2016</v>
      </c>
      <c r="C10" s="47">
        <v>8707382.82</v>
      </c>
      <c r="D10" s="47">
        <v>174147.6564</v>
      </c>
      <c r="E10" s="47">
        <v>8533235.1636</v>
      </c>
      <c r="F10" s="48">
        <v>0.06469060610011179</v>
      </c>
      <c r="G10" s="45">
        <v>3</v>
      </c>
      <c r="H10" s="45">
        <v>2016</v>
      </c>
      <c r="I10" s="29"/>
      <c r="J10" s="29"/>
      <c r="K10" s="29"/>
      <c r="L10" s="29"/>
      <c r="N10" s="77"/>
      <c r="O10" s="77">
        <f t="shared" si="0"/>
        <v>1</v>
      </c>
      <c r="P10" s="80">
        <f t="shared" si="1"/>
        <v>42401</v>
      </c>
      <c r="Q10" s="77"/>
      <c r="R10" s="77"/>
      <c r="S10" s="77"/>
      <c r="T10" s="83">
        <f t="shared" si="3"/>
        <v>1.0646906061001118</v>
      </c>
      <c r="U10" s="84">
        <f t="shared" si="2"/>
        <v>8178322.2</v>
      </c>
      <c r="V10" s="77"/>
    </row>
    <row r="11" spans="1:22" ht="12.75">
      <c r="A11" s="45">
        <v>3</v>
      </c>
      <c r="B11" s="45">
        <v>2016</v>
      </c>
      <c r="C11" s="47">
        <v>8879319.97</v>
      </c>
      <c r="D11" s="47">
        <v>177586.39940000002</v>
      </c>
      <c r="E11" s="47">
        <v>8701733.570600001</v>
      </c>
      <c r="F11" s="48">
        <v>-0.02498271572641264</v>
      </c>
      <c r="G11" s="45">
        <v>4</v>
      </c>
      <c r="H11" s="45">
        <v>2016</v>
      </c>
      <c r="I11" s="47"/>
      <c r="J11" s="47"/>
      <c r="K11" s="47"/>
      <c r="L11" s="47"/>
      <c r="N11" s="87"/>
      <c r="O11" s="77">
        <f t="shared" si="0"/>
        <v>1</v>
      </c>
      <c r="P11" s="80">
        <f t="shared" si="1"/>
        <v>42430</v>
      </c>
      <c r="Q11" s="77"/>
      <c r="R11" s="77"/>
      <c r="S11" s="77"/>
      <c r="T11" s="83">
        <f t="shared" si="3"/>
        <v>0.9750172842735874</v>
      </c>
      <c r="U11" s="84">
        <f t="shared" si="2"/>
        <v>9106833.4</v>
      </c>
      <c r="V11" s="77"/>
    </row>
    <row r="12" spans="1:22" ht="12.75">
      <c r="A12" s="45">
        <v>4</v>
      </c>
      <c r="B12" s="45">
        <v>2016</v>
      </c>
      <c r="C12" s="47">
        <v>9588045.39</v>
      </c>
      <c r="D12" s="47">
        <v>191760.90780000002</v>
      </c>
      <c r="E12" s="47">
        <v>9396284.4822</v>
      </c>
      <c r="F12" s="48">
        <v>0.020391921997677587</v>
      </c>
      <c r="G12" s="45">
        <v>5</v>
      </c>
      <c r="H12" s="45">
        <v>2016</v>
      </c>
      <c r="I12" s="47"/>
      <c r="J12" s="47"/>
      <c r="K12" s="47"/>
      <c r="L12" s="47"/>
      <c r="N12" s="77"/>
      <c r="O12" s="77">
        <f t="shared" si="0"/>
        <v>1</v>
      </c>
      <c r="P12" s="80">
        <f t="shared" si="1"/>
        <v>42461</v>
      </c>
      <c r="Q12" s="77"/>
      <c r="R12" s="77"/>
      <c r="S12" s="77"/>
      <c r="T12" s="83">
        <f t="shared" si="3"/>
        <v>1.0203919219976776</v>
      </c>
      <c r="U12" s="84">
        <f t="shared" si="2"/>
        <v>9396434.039999997</v>
      </c>
      <c r="V12" s="77"/>
    </row>
    <row r="13" spans="1:22" ht="12.75">
      <c r="A13" s="45">
        <v>5</v>
      </c>
      <c r="B13" s="45">
        <v>2016</v>
      </c>
      <c r="C13" s="47">
        <v>7268940.76</v>
      </c>
      <c r="D13" s="47">
        <v>145378.8152</v>
      </c>
      <c r="E13" s="47">
        <v>7123561.9448</v>
      </c>
      <c r="F13" s="48">
        <v>0.0059718095422240935</v>
      </c>
      <c r="G13" s="45">
        <v>6</v>
      </c>
      <c r="H13" s="45">
        <v>2016</v>
      </c>
      <c r="I13" s="29"/>
      <c r="J13" s="29"/>
      <c r="K13" s="29"/>
      <c r="L13" s="29"/>
      <c r="N13" s="77"/>
      <c r="O13" s="77">
        <f t="shared" si="0"/>
        <v>1</v>
      </c>
      <c r="P13" s="80">
        <f t="shared" si="1"/>
        <v>42491</v>
      </c>
      <c r="Q13" s="77"/>
      <c r="R13" s="77"/>
      <c r="S13" s="77"/>
      <c r="T13" s="83">
        <f t="shared" si="3"/>
        <v>1.005971809542224</v>
      </c>
      <c r="U13" s="84">
        <f t="shared" si="2"/>
        <v>7225789.719999999</v>
      </c>
      <c r="V13" s="77"/>
    </row>
    <row r="14" spans="1:22" ht="12.75">
      <c r="A14" s="45">
        <v>6</v>
      </c>
      <c r="B14" s="45">
        <v>2016</v>
      </c>
      <c r="C14" s="47">
        <v>6174790.51</v>
      </c>
      <c r="D14" s="47">
        <v>123495.81019999999</v>
      </c>
      <c r="E14" s="47">
        <v>6051294.6998</v>
      </c>
      <c r="F14" s="48">
        <v>0.03907433533199578</v>
      </c>
      <c r="G14" s="45">
        <v>7</v>
      </c>
      <c r="H14" s="45">
        <v>2016</v>
      </c>
      <c r="I14" s="29"/>
      <c r="J14" s="29"/>
      <c r="K14" s="29"/>
      <c r="L14" s="29"/>
      <c r="N14" s="77"/>
      <c r="O14" s="77">
        <f t="shared" si="0"/>
        <v>1</v>
      </c>
      <c r="P14" s="80">
        <f t="shared" si="1"/>
        <v>42522</v>
      </c>
      <c r="Q14" s="77"/>
      <c r="R14" s="77"/>
      <c r="S14" s="85">
        <f>(F6+F7+F8+F9+F10+F11+F12+F13+F14+F15+F16+F17)/O18</f>
        <v>0.04837204279102939</v>
      </c>
      <c r="T14" s="83">
        <f t="shared" si="3"/>
        <v>1.0390743353319958</v>
      </c>
      <c r="U14" s="84">
        <f t="shared" si="2"/>
        <v>5942587.839999999</v>
      </c>
      <c r="V14" s="77"/>
    </row>
    <row r="15" spans="1:22" ht="12.75">
      <c r="A15" s="45">
        <v>7</v>
      </c>
      <c r="B15" s="45">
        <v>2016</v>
      </c>
      <c r="C15" s="47">
        <v>4838940</v>
      </c>
      <c r="D15" s="47">
        <v>96778.8</v>
      </c>
      <c r="E15" s="47">
        <v>4742161.2</v>
      </c>
      <c r="F15" s="48">
        <v>0.012276605261221762</v>
      </c>
      <c r="G15" s="45">
        <v>8</v>
      </c>
      <c r="H15" s="45">
        <v>2016</v>
      </c>
      <c r="I15" s="29"/>
      <c r="J15" s="29"/>
      <c r="K15" s="29"/>
      <c r="L15" s="29"/>
      <c r="N15" s="77"/>
      <c r="O15" s="77">
        <f t="shared" si="0"/>
        <v>1</v>
      </c>
      <c r="P15" s="80">
        <f t="shared" si="1"/>
        <v>42552</v>
      </c>
      <c r="Q15" s="77"/>
      <c r="R15" s="77"/>
      <c r="S15" s="77"/>
      <c r="T15" s="83">
        <f t="shared" si="3"/>
        <v>1.0122766052612218</v>
      </c>
      <c r="U15" s="84">
        <f t="shared" si="2"/>
        <v>4780254.7</v>
      </c>
      <c r="V15" s="77"/>
    </row>
    <row r="16" spans="1:22" ht="12.75">
      <c r="A16" s="45">
        <v>8</v>
      </c>
      <c r="B16" s="45">
        <v>2016</v>
      </c>
      <c r="C16" s="47">
        <v>5843537.55</v>
      </c>
      <c r="D16" s="47">
        <v>116870.751</v>
      </c>
      <c r="E16" s="47">
        <v>5726666.799</v>
      </c>
      <c r="F16" s="48">
        <v>0.07234045933657507</v>
      </c>
      <c r="G16" s="45">
        <v>9</v>
      </c>
      <c r="H16" s="45">
        <v>2016</v>
      </c>
      <c r="I16" s="47"/>
      <c r="J16" s="47"/>
      <c r="K16" s="47"/>
      <c r="L16" s="47"/>
      <c r="N16" s="77"/>
      <c r="O16" s="77">
        <f t="shared" si="0"/>
        <v>1</v>
      </c>
      <c r="P16" s="80">
        <f t="shared" si="1"/>
        <v>42583</v>
      </c>
      <c r="Q16" s="77"/>
      <c r="R16" s="77"/>
      <c r="S16" s="77"/>
      <c r="T16" s="83">
        <f t="shared" si="3"/>
        <v>1.072340459336575</v>
      </c>
      <c r="U16" s="84">
        <f t="shared" si="2"/>
        <v>5449330.48</v>
      </c>
      <c r="V16" s="77"/>
    </row>
    <row r="17" spans="1:22" ht="12.75">
      <c r="A17" s="63">
        <v>9</v>
      </c>
      <c r="B17" s="64">
        <v>2016</v>
      </c>
      <c r="C17" s="65">
        <v>5041110.13</v>
      </c>
      <c r="D17" s="65">
        <v>100822.2026</v>
      </c>
      <c r="E17" s="65">
        <v>4940287.927399999</v>
      </c>
      <c r="F17" s="48">
        <v>0.002949123285138855</v>
      </c>
      <c r="G17" s="63">
        <v>10</v>
      </c>
      <c r="H17" s="64">
        <v>2016</v>
      </c>
      <c r="I17" s="29"/>
      <c r="J17" s="29"/>
      <c r="K17" s="29"/>
      <c r="L17" s="29"/>
      <c r="N17" s="77"/>
      <c r="O17" s="77">
        <f t="shared" si="0"/>
        <v>1</v>
      </c>
      <c r="P17" s="80">
        <f t="shared" si="1"/>
        <v>42614</v>
      </c>
      <c r="Q17" s="77"/>
      <c r="R17" s="77"/>
      <c r="S17" s="77"/>
      <c r="T17" s="83">
        <f t="shared" si="3"/>
        <v>1.0029491232851389</v>
      </c>
      <c r="U17" s="84">
        <f t="shared" si="2"/>
        <v>5026286.99</v>
      </c>
      <c r="V17" s="77"/>
    </row>
    <row r="18" spans="1:22" ht="12.75">
      <c r="A18" s="4"/>
      <c r="B18" s="4"/>
      <c r="C18" s="5">
        <f>SUM(C6:C17)</f>
        <v>80229248.00999999</v>
      </c>
      <c r="D18" s="5">
        <f>SUM(D6:D17)</f>
        <v>1604584.9592</v>
      </c>
      <c r="E18" s="5">
        <f>SUM(E6:E17)</f>
        <v>78624763.05079998</v>
      </c>
      <c r="F18" s="6">
        <f>(C18/U18)-1</f>
        <v>0.04121214766650527</v>
      </c>
      <c r="G18" s="4"/>
      <c r="H18" s="4"/>
      <c r="I18" s="29"/>
      <c r="J18" s="29"/>
      <c r="K18" s="29"/>
      <c r="L18" s="29"/>
      <c r="N18" s="77"/>
      <c r="O18" s="81">
        <f>SUM(O6:O17)</f>
        <v>12</v>
      </c>
      <c r="P18" s="77"/>
      <c r="Q18" s="77"/>
      <c r="R18" s="77"/>
      <c r="S18" s="77"/>
      <c r="T18" s="88"/>
      <c r="U18" s="84">
        <f>SUM(U6:U17)</f>
        <v>77053699.56526573</v>
      </c>
      <c r="V18" s="77"/>
    </row>
    <row r="19" spans="3:22" ht="12.75">
      <c r="C19" s="26"/>
      <c r="N19" s="77"/>
      <c r="O19" s="77"/>
      <c r="P19" s="77"/>
      <c r="Q19" s="77"/>
      <c r="R19" s="77"/>
      <c r="S19" s="77"/>
      <c r="T19" s="77"/>
      <c r="V19" s="77"/>
    </row>
    <row r="20" spans="14:22" ht="12.75">
      <c r="N20" s="77"/>
      <c r="O20" s="77"/>
      <c r="P20" s="77"/>
      <c r="Q20" s="77"/>
      <c r="R20" s="77"/>
      <c r="S20" s="77"/>
      <c r="T20" s="77"/>
      <c r="V20" s="77"/>
    </row>
    <row r="21" spans="14:22" ht="12.75">
      <c r="N21" s="77"/>
      <c r="O21" s="77"/>
      <c r="P21" s="77"/>
      <c r="Q21" s="77"/>
      <c r="R21" s="77"/>
      <c r="S21" s="77"/>
      <c r="T21" s="77"/>
      <c r="V21" s="77"/>
    </row>
    <row r="48" ht="12.75">
      <c r="C48" s="44"/>
    </row>
    <row r="51" spans="1:12" ht="12.75">
      <c r="A51" s="3"/>
      <c r="B51" s="3"/>
      <c r="C51" s="3" t="s">
        <v>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 t="s">
        <v>2</v>
      </c>
      <c r="B53" s="3"/>
      <c r="C53" s="3"/>
      <c r="D53" s="3" t="str">
        <f>+B56</f>
        <v>2015-2016</v>
      </c>
      <c r="E53" s="3" t="s">
        <v>64</v>
      </c>
      <c r="F53" s="3"/>
      <c r="G53" s="3"/>
      <c r="H53" s="3"/>
      <c r="I53" s="3"/>
      <c r="J53" s="3"/>
      <c r="K53" s="3"/>
      <c r="L53" s="3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63</v>
      </c>
      <c r="B55" t="s">
        <v>15</v>
      </c>
      <c r="G55" t="s">
        <v>63</v>
      </c>
      <c r="H55" t="s">
        <v>15</v>
      </c>
    </row>
    <row r="56" spans="1:15" ht="12.75">
      <c r="A56" s="28">
        <v>1</v>
      </c>
      <c r="B56" t="str">
        <f>+D3&amp;"-"&amp;(D3+1)</f>
        <v>2015-2016</v>
      </c>
      <c r="C56" s="29">
        <f>+C6+C7+C8</f>
        <v>15878506.349999998</v>
      </c>
      <c r="D56" s="29">
        <f>+D6+D7+D8</f>
        <v>317570.12600000005</v>
      </c>
      <c r="E56" s="29">
        <f>+E6+E7+E8</f>
        <v>15561036.224</v>
      </c>
      <c r="F56" s="30">
        <f>(F6+F7+F8)/O56</f>
        <v>0.11145891701106625</v>
      </c>
      <c r="G56" s="28">
        <v>1</v>
      </c>
      <c r="H56" t="str">
        <f>+$B$56</f>
        <v>2015-2016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1">
        <f>+O6+O7+O8</f>
        <v>3</v>
      </c>
    </row>
    <row r="57" spans="1:15" ht="12.75">
      <c r="A57" s="28">
        <v>2</v>
      </c>
      <c r="B57" t="str">
        <f>+$B$56</f>
        <v>2015-2016</v>
      </c>
      <c r="C57" s="29">
        <f>+C9+C10+C11</f>
        <v>25595377.32</v>
      </c>
      <c r="D57" s="29">
        <f>+D9+D10+D11</f>
        <v>511907.5464</v>
      </c>
      <c r="E57" s="29">
        <f>+E9+E10+E11</f>
        <v>25083469.7736</v>
      </c>
      <c r="F57" s="30">
        <f>(F7+F8+F9)/O57</f>
        <v>0.08403169610116105</v>
      </c>
      <c r="G57" s="28">
        <v>2</v>
      </c>
      <c r="H57" t="str">
        <f>+$B$56</f>
        <v>2015-2016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1">
        <f>+O9+O10+O11</f>
        <v>3</v>
      </c>
    </row>
    <row r="58" spans="1:15" ht="12.75">
      <c r="A58" s="28">
        <v>3</v>
      </c>
      <c r="B58" t="str">
        <f>+$B$56</f>
        <v>2015-2016</v>
      </c>
      <c r="C58" s="29">
        <f>+C12+C13+C14</f>
        <v>23031776.659999996</v>
      </c>
      <c r="D58" s="29">
        <f>+D12+D13+D14</f>
        <v>460635.5332</v>
      </c>
      <c r="E58" s="29">
        <f>+E12+E13+E14</f>
        <v>22571141.1268</v>
      </c>
      <c r="F58" s="30">
        <f>(F8+F9+F10)/O58</f>
        <v>0.06419848993907047</v>
      </c>
      <c r="G58" s="28">
        <v>3</v>
      </c>
      <c r="H58" t="str">
        <f>+$B$56</f>
        <v>2015-2016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1">
        <f>+O12+O13+O14</f>
        <v>3</v>
      </c>
    </row>
    <row r="59" spans="1:15" ht="12.75">
      <c r="A59" s="28">
        <v>4</v>
      </c>
      <c r="B59" t="str">
        <f>+$B$56</f>
        <v>2015-2016</v>
      </c>
      <c r="C59" s="29">
        <f>+C15+C16+C17</f>
        <v>15723587.68</v>
      </c>
      <c r="D59" s="29">
        <f>+D15+D16+D17</f>
        <v>314471.7536</v>
      </c>
      <c r="E59" s="29">
        <f>+E15+E16+E17</f>
        <v>15409115.926399998</v>
      </c>
      <c r="F59" s="30">
        <f>(F9+F10+F11)/O59</f>
        <v>0.031027835901440277</v>
      </c>
      <c r="G59" s="28">
        <v>4</v>
      </c>
      <c r="H59" t="str">
        <f>+$B$56</f>
        <v>2015-2016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1">
        <f>+O15+O16+O17</f>
        <v>3</v>
      </c>
    </row>
    <row r="60" spans="1:12" ht="12.75">
      <c r="A60" s="4"/>
      <c r="B60" s="4"/>
      <c r="C60" s="5">
        <f>SUM(C48:C59)</f>
        <v>80229248.00999999</v>
      </c>
      <c r="D60" s="5">
        <f>SUM(D48:D59)</f>
        <v>1604584.9592</v>
      </c>
      <c r="E60" s="5">
        <f>SUM(E48:E59)</f>
        <v>78624763.0508</v>
      </c>
      <c r="F60" s="6">
        <f>+F18</f>
        <v>0.04121214766650527</v>
      </c>
      <c r="G60" s="4"/>
      <c r="H60" s="4"/>
      <c r="I60" s="5">
        <f>SUM(I48:I59)</f>
        <v>0</v>
      </c>
      <c r="J60" s="5">
        <f>SUM(J48:J59)</f>
        <v>0</v>
      </c>
      <c r="K60" s="5">
        <f>SUM(K48:K59)</f>
        <v>0</v>
      </c>
      <c r="L60" s="5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4"/>
      <c r="B68" s="4"/>
      <c r="C68" s="5"/>
      <c r="D68" s="5"/>
      <c r="E68" s="5"/>
      <c r="F68" s="6"/>
      <c r="G68" s="4"/>
      <c r="H68" s="4"/>
      <c r="I68" s="5"/>
      <c r="J68" s="5"/>
      <c r="K68" s="5"/>
      <c r="L68" s="5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94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19.57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</cols>
  <sheetData>
    <row r="1" spans="1:9" ht="12.75">
      <c r="A1" s="11"/>
      <c r="B1" s="11"/>
      <c r="C1" s="11" t="s">
        <v>24</v>
      </c>
      <c r="D1" s="11"/>
      <c r="E1" s="11"/>
      <c r="F1" s="11"/>
      <c r="G1" s="11"/>
      <c r="H1" s="11"/>
      <c r="I1" s="11"/>
    </row>
    <row r="2" spans="1:16" ht="12.75">
      <c r="A2" s="11"/>
      <c r="B2" s="11"/>
      <c r="C2" s="11" t="s">
        <v>25</v>
      </c>
      <c r="D2" s="11"/>
      <c r="E2" s="11"/>
      <c r="F2" s="11"/>
      <c r="G2" s="11"/>
      <c r="H2" s="11"/>
      <c r="I2" s="11"/>
      <c r="N2">
        <f>+D3-1</f>
        <v>2014</v>
      </c>
      <c r="O2" t="s">
        <v>3</v>
      </c>
      <c r="P2">
        <f>+D3</f>
        <v>2015</v>
      </c>
    </row>
    <row r="3" spans="1:9" ht="12.75">
      <c r="A3" s="11"/>
      <c r="B3" s="11"/>
      <c r="C3" s="11" t="s">
        <v>26</v>
      </c>
      <c r="D3" s="11">
        <f>+B6</f>
        <v>2015</v>
      </c>
      <c r="E3" s="11" t="s">
        <v>3</v>
      </c>
      <c r="F3" s="11">
        <f>+D3+1</f>
        <v>2016</v>
      </c>
      <c r="G3" s="11"/>
      <c r="H3" s="11"/>
      <c r="I3" s="11"/>
    </row>
    <row r="4" spans="1:9" ht="12.75">
      <c r="A4" s="11"/>
      <c r="B4" s="11" t="s">
        <v>4</v>
      </c>
      <c r="C4" s="11" t="s">
        <v>19</v>
      </c>
      <c r="D4" s="11" t="s">
        <v>27</v>
      </c>
      <c r="E4" s="11" t="s">
        <v>28</v>
      </c>
      <c r="F4" s="11" t="s">
        <v>21</v>
      </c>
      <c r="G4" s="11" t="s">
        <v>22</v>
      </c>
      <c r="H4" s="11"/>
      <c r="I4" s="11" t="s">
        <v>29</v>
      </c>
    </row>
    <row r="5" spans="1:9" ht="12.75">
      <c r="A5" s="11"/>
      <c r="B5" s="11" t="s">
        <v>14</v>
      </c>
      <c r="C5" s="11"/>
      <c r="D5" s="11"/>
      <c r="E5" s="11"/>
      <c r="F5" s="11"/>
      <c r="G5" s="11" t="s">
        <v>14</v>
      </c>
      <c r="H5" s="11"/>
      <c r="I5" s="11"/>
    </row>
    <row r="6" spans="1:21" ht="12.75">
      <c r="A6" s="45">
        <v>10</v>
      </c>
      <c r="B6" s="45">
        <v>2015</v>
      </c>
      <c r="C6" s="47">
        <v>1513791.92</v>
      </c>
      <c r="D6" s="47">
        <v>45413.75760000002</v>
      </c>
      <c r="E6" s="47">
        <v>1468378.1624000005</v>
      </c>
      <c r="F6" s="48">
        <v>0.10045998038178627</v>
      </c>
      <c r="G6" s="45">
        <v>11</v>
      </c>
      <c r="H6" s="45">
        <v>2015</v>
      </c>
      <c r="I6" s="47">
        <v>1468378.1624000005</v>
      </c>
      <c r="L6" s="10">
        <f>IF(A6&gt;0,1,"")</f>
        <v>1</v>
      </c>
      <c r="M6" s="21">
        <f>DATE(B6,A6,1)</f>
        <v>42278</v>
      </c>
      <c r="N6" s="21">
        <f aca="true" t="shared" si="0" ref="N6:N17">IF(A6&gt;0,M6,"")</f>
        <v>42278</v>
      </c>
      <c r="T6" s="22">
        <f>IF(L6=1,(F6+1),0)</f>
        <v>1.1004599803817863</v>
      </c>
      <c r="U6" s="20">
        <f>IF(L6=1,C6/T6,0)</f>
        <v>1375599.2466666666</v>
      </c>
    </row>
    <row r="7" spans="1:21" ht="12.75">
      <c r="A7" s="45">
        <v>11</v>
      </c>
      <c r="B7" s="45">
        <v>2015</v>
      </c>
      <c r="C7" s="47">
        <v>1815295.7</v>
      </c>
      <c r="D7" s="47">
        <v>54458.87100000002</v>
      </c>
      <c r="E7" s="47">
        <v>1760836.8290000006</v>
      </c>
      <c r="F7" s="48">
        <v>0.183170012293709</v>
      </c>
      <c r="G7" s="45">
        <v>12</v>
      </c>
      <c r="H7" s="45">
        <v>2015</v>
      </c>
      <c r="I7" s="47">
        <v>1760836.8290000006</v>
      </c>
      <c r="J7" s="46"/>
      <c r="L7" s="10">
        <f>IF(A7&gt;0,1,0)</f>
        <v>1</v>
      </c>
      <c r="M7" s="21">
        <f aca="true" t="shared" si="1" ref="M7:M17">DATE(B7,A7,1)</f>
        <v>42309</v>
      </c>
      <c r="N7" s="21">
        <f t="shared" si="0"/>
        <v>42309</v>
      </c>
      <c r="T7" s="22">
        <f aca="true" t="shared" si="2" ref="T7:T16">IF(L7=1,(F7+1),0)</f>
        <v>1.183170012293709</v>
      </c>
      <c r="U7" s="20">
        <f aca="true" t="shared" si="3" ref="U7:U17">IF(L7=1,C7/T7,0)</f>
        <v>1534264.4599999993</v>
      </c>
    </row>
    <row r="8" spans="1:21" ht="12.75">
      <c r="A8" s="45">
        <v>12</v>
      </c>
      <c r="B8" s="45">
        <v>2015</v>
      </c>
      <c r="C8" s="47">
        <v>2196932.8</v>
      </c>
      <c r="D8" s="47">
        <v>65907.98400000004</v>
      </c>
      <c r="E8" s="47">
        <v>2131024.816000001</v>
      </c>
      <c r="F8" s="48">
        <v>0.005681399377839513</v>
      </c>
      <c r="G8" s="45">
        <v>1</v>
      </c>
      <c r="H8" s="45">
        <v>2016</v>
      </c>
      <c r="I8" s="47">
        <v>2131024.816000001</v>
      </c>
      <c r="L8" s="10">
        <f>IF(A8&gt;0,1,0)</f>
        <v>1</v>
      </c>
      <c r="M8" s="21">
        <f t="shared" si="1"/>
        <v>42339</v>
      </c>
      <c r="N8" s="21">
        <f t="shared" si="0"/>
        <v>42339</v>
      </c>
      <c r="T8" s="22">
        <f t="shared" si="2"/>
        <v>1.0056813993778395</v>
      </c>
      <c r="U8" s="20">
        <f t="shared" si="3"/>
        <v>2184521.6599999988</v>
      </c>
    </row>
    <row r="9" spans="1:21" ht="12.75">
      <c r="A9" s="45">
        <v>1</v>
      </c>
      <c r="B9" s="45">
        <v>2016</v>
      </c>
      <c r="C9" s="47">
        <v>2416835.32</v>
      </c>
      <c r="D9" s="47">
        <v>72505.05960000004</v>
      </c>
      <c r="E9" s="47">
        <v>2344330.260400001</v>
      </c>
      <c r="F9" s="48">
        <v>0.036074884633181314</v>
      </c>
      <c r="G9" s="45">
        <v>2</v>
      </c>
      <c r="H9" s="45">
        <v>2016</v>
      </c>
      <c r="I9" s="47">
        <v>2344330.260400001</v>
      </c>
      <c r="L9" s="10">
        <f>IF(A9&gt;0,1,0)</f>
        <v>1</v>
      </c>
      <c r="M9" s="21">
        <f t="shared" si="1"/>
        <v>42370</v>
      </c>
      <c r="N9" s="21">
        <f t="shared" si="0"/>
        <v>42370</v>
      </c>
      <c r="T9" s="22">
        <f t="shared" si="2"/>
        <v>1.0360748846331813</v>
      </c>
      <c r="U9" s="20">
        <f t="shared" si="3"/>
        <v>2332684.0133333337</v>
      </c>
    </row>
    <row r="10" spans="1:21" ht="12.75">
      <c r="A10" s="45">
        <v>2</v>
      </c>
      <c r="B10" s="45">
        <v>2016</v>
      </c>
      <c r="C10" s="47">
        <v>2917908.166666668</v>
      </c>
      <c r="D10" s="47">
        <v>87537.24500000004</v>
      </c>
      <c r="E10" s="47">
        <v>2830370.921666668</v>
      </c>
      <c r="F10" s="48">
        <v>0.02311037371291147</v>
      </c>
      <c r="G10" s="45">
        <v>3</v>
      </c>
      <c r="H10" s="45">
        <v>2016</v>
      </c>
      <c r="I10" s="47">
        <v>2830370.921666668</v>
      </c>
      <c r="L10" s="10">
        <f aca="true" t="shared" si="4" ref="L10:L16">IF(A10&gt;0,1,0)</f>
        <v>1</v>
      </c>
      <c r="M10" s="21">
        <f t="shared" si="1"/>
        <v>42401</v>
      </c>
      <c r="N10" s="21">
        <f t="shared" si="0"/>
        <v>42401</v>
      </c>
      <c r="T10" s="22">
        <f t="shared" si="2"/>
        <v>1.0231103737129115</v>
      </c>
      <c r="U10" s="20">
        <f t="shared" si="3"/>
        <v>2851997.440000001</v>
      </c>
    </row>
    <row r="11" spans="1:21" s="46" customFormat="1" ht="14.25" customHeight="1">
      <c r="A11" s="45">
        <v>3</v>
      </c>
      <c r="B11" s="45">
        <v>2016</v>
      </c>
      <c r="C11" s="47">
        <v>2997900.040000001</v>
      </c>
      <c r="D11" s="47">
        <v>89937.00120000003</v>
      </c>
      <c r="E11" s="47">
        <v>2907963.038800001</v>
      </c>
      <c r="F11" s="48">
        <v>0.0028324885457189364</v>
      </c>
      <c r="G11" s="45">
        <v>4</v>
      </c>
      <c r="H11" s="45">
        <v>2016</v>
      </c>
      <c r="I11" s="47">
        <v>2907963.0388000007</v>
      </c>
      <c r="L11" s="10">
        <f>IF(A11&gt;0,1,0)</f>
        <v>1</v>
      </c>
      <c r="M11" s="21">
        <f>DATE(B11,A11,1)</f>
        <v>42430</v>
      </c>
      <c r="N11" s="21">
        <f>IF(A11&gt;0,M11,"")</f>
        <v>42430</v>
      </c>
      <c r="O11"/>
      <c r="P11"/>
      <c r="Q11"/>
      <c r="R11"/>
      <c r="S11"/>
      <c r="T11" s="22">
        <f t="shared" si="2"/>
        <v>1.002832488545719</v>
      </c>
      <c r="U11" s="20">
        <f t="shared" si="3"/>
        <v>2989432.5066666678</v>
      </c>
    </row>
    <row r="12" spans="1:21" ht="12.75">
      <c r="A12" s="45">
        <v>4</v>
      </c>
      <c r="B12" s="45">
        <v>2016</v>
      </c>
      <c r="C12" s="47">
        <v>3065571.946666668</v>
      </c>
      <c r="D12" s="47">
        <v>91967.15840000004</v>
      </c>
      <c r="E12" s="47">
        <v>2973604.788266668</v>
      </c>
      <c r="F12" s="48">
        <v>-0.035614130909863984</v>
      </c>
      <c r="G12" s="45">
        <v>5</v>
      </c>
      <c r="H12" s="45">
        <v>2016</v>
      </c>
      <c r="I12" s="47">
        <v>2973604.788266668</v>
      </c>
      <c r="L12" s="10">
        <f t="shared" si="4"/>
        <v>1</v>
      </c>
      <c r="M12" s="21">
        <f t="shared" si="1"/>
        <v>42461</v>
      </c>
      <c r="N12" s="21">
        <f t="shared" si="0"/>
        <v>42461</v>
      </c>
      <c r="T12" s="22">
        <f t="shared" si="2"/>
        <v>0.964385869090136</v>
      </c>
      <c r="U12" s="20">
        <f t="shared" si="3"/>
        <v>3178781.486666667</v>
      </c>
    </row>
    <row r="13" spans="1:21" ht="12.75">
      <c r="A13" s="45">
        <v>5</v>
      </c>
      <c r="B13" s="45">
        <v>2016</v>
      </c>
      <c r="C13" s="47">
        <v>2264951.053333334</v>
      </c>
      <c r="D13" s="47">
        <v>67948.53160000002</v>
      </c>
      <c r="E13" s="47">
        <v>2197002.5217333343</v>
      </c>
      <c r="F13" s="48">
        <v>-0.02251715423082923</v>
      </c>
      <c r="G13" s="45">
        <v>6</v>
      </c>
      <c r="H13" s="45">
        <v>2016</v>
      </c>
      <c r="I13" s="47">
        <v>2197002.5217333343</v>
      </c>
      <c r="L13" s="10">
        <f t="shared" si="4"/>
        <v>1</v>
      </c>
      <c r="M13" s="21">
        <f t="shared" si="1"/>
        <v>42491</v>
      </c>
      <c r="N13" s="21">
        <f t="shared" si="0"/>
        <v>42491</v>
      </c>
      <c r="T13" s="22">
        <f t="shared" si="2"/>
        <v>0.9774828457691708</v>
      </c>
      <c r="U13" s="20">
        <f t="shared" si="3"/>
        <v>2317126.14</v>
      </c>
    </row>
    <row r="14" spans="1:21" ht="12.75">
      <c r="A14" s="45">
        <v>6</v>
      </c>
      <c r="B14" s="45">
        <v>2016</v>
      </c>
      <c r="C14" s="47">
        <v>1987241.353333334</v>
      </c>
      <c r="D14" s="47">
        <v>59617.24060000002</v>
      </c>
      <c r="E14" s="47">
        <v>1927624.1127333338</v>
      </c>
      <c r="F14" s="48">
        <v>-0.0027170443508980346</v>
      </c>
      <c r="G14" s="45">
        <v>7</v>
      </c>
      <c r="H14" s="45">
        <v>2016</v>
      </c>
      <c r="I14" s="47">
        <v>1927624.1127333338</v>
      </c>
      <c r="L14" s="10">
        <f t="shared" si="4"/>
        <v>1</v>
      </c>
      <c r="M14" s="21">
        <f t="shared" si="1"/>
        <v>42522</v>
      </c>
      <c r="N14" s="21">
        <f t="shared" si="0"/>
        <v>42522</v>
      </c>
      <c r="T14" s="22">
        <f t="shared" si="2"/>
        <v>0.997282955649102</v>
      </c>
      <c r="U14" s="20">
        <f t="shared" si="3"/>
        <v>1992655.4866666675</v>
      </c>
    </row>
    <row r="15" spans="1:21" ht="12.75">
      <c r="A15" s="45">
        <v>7</v>
      </c>
      <c r="B15" s="45">
        <v>2016</v>
      </c>
      <c r="C15" s="47">
        <v>1578174.1333333342</v>
      </c>
      <c r="D15" s="47">
        <v>47345.224000000024</v>
      </c>
      <c r="E15" s="47">
        <v>1530828.9093333343</v>
      </c>
      <c r="F15" s="48">
        <v>-0.0027606286088697196</v>
      </c>
      <c r="G15" s="45">
        <v>8</v>
      </c>
      <c r="H15" s="45">
        <v>2016</v>
      </c>
      <c r="I15" s="47">
        <v>1530828.909333334</v>
      </c>
      <c r="L15" s="10">
        <f t="shared" si="4"/>
        <v>1</v>
      </c>
      <c r="M15" s="21">
        <f t="shared" si="1"/>
        <v>42552</v>
      </c>
      <c r="N15" s="21">
        <f t="shared" si="0"/>
        <v>42552</v>
      </c>
      <c r="T15" s="22">
        <f t="shared" si="2"/>
        <v>0.9972393713911303</v>
      </c>
      <c r="U15" s="20">
        <f t="shared" si="3"/>
        <v>1582542.9466666672</v>
      </c>
    </row>
    <row r="16" spans="1:21" ht="12.75">
      <c r="A16" s="45">
        <v>8</v>
      </c>
      <c r="B16" s="45">
        <v>2016</v>
      </c>
      <c r="C16" s="47">
        <v>1870136.7800000007</v>
      </c>
      <c r="D16" s="47">
        <v>56104.10340000002</v>
      </c>
      <c r="E16" s="47">
        <v>1814032.6766000008</v>
      </c>
      <c r="F16" s="48">
        <v>0.07809923929404872</v>
      </c>
      <c r="G16" s="45">
        <v>9</v>
      </c>
      <c r="H16" s="45">
        <v>2016</v>
      </c>
      <c r="I16" s="47">
        <v>1814032.6766000006</v>
      </c>
      <c r="J16" s="46"/>
      <c r="L16" s="10">
        <f t="shared" si="4"/>
        <v>1</v>
      </c>
      <c r="M16" s="21">
        <f t="shared" si="1"/>
        <v>42583</v>
      </c>
      <c r="N16" s="21">
        <f t="shared" si="0"/>
        <v>42583</v>
      </c>
      <c r="T16" s="22">
        <f t="shared" si="2"/>
        <v>1.0780992392940487</v>
      </c>
      <c r="U16" s="20">
        <f t="shared" si="3"/>
        <v>1734661.07</v>
      </c>
    </row>
    <row r="17" spans="1:21" ht="12.75">
      <c r="A17" s="45">
        <v>9</v>
      </c>
      <c r="B17" s="45">
        <v>2016</v>
      </c>
      <c r="C17" s="47">
        <v>1630107.9000000008</v>
      </c>
      <c r="D17" s="47">
        <v>48903.23700000002</v>
      </c>
      <c r="E17" s="47">
        <v>1581204.6630000009</v>
      </c>
      <c r="F17" s="48">
        <v>0.009286655301407043</v>
      </c>
      <c r="G17" s="45">
        <v>10</v>
      </c>
      <c r="H17" s="45">
        <v>2016</v>
      </c>
      <c r="I17" s="47">
        <v>1581204.6630000009</v>
      </c>
      <c r="L17" s="10">
        <v>1</v>
      </c>
      <c r="M17" s="21">
        <f t="shared" si="1"/>
        <v>42614</v>
      </c>
      <c r="N17" s="21">
        <f t="shared" si="0"/>
        <v>42614</v>
      </c>
      <c r="T17" s="22">
        <f>IF(L17=1,(F17+1),"")</f>
        <v>1.009286655301407</v>
      </c>
      <c r="U17" s="20">
        <f t="shared" si="3"/>
        <v>1615108.94</v>
      </c>
    </row>
    <row r="18" spans="1:21" ht="12.75">
      <c r="A18" s="7"/>
      <c r="B18" s="7"/>
      <c r="C18" s="8">
        <f>SUM(C6:C17)</f>
        <v>26254847.113333344</v>
      </c>
      <c r="D18" s="8">
        <f>SUM(D6:D17)</f>
        <v>787645.4134000004</v>
      </c>
      <c r="E18" s="8">
        <f>SUM(E6:E17)</f>
        <v>25467201.699933346</v>
      </c>
      <c r="F18" s="9">
        <f>(C18/U18)-1</f>
        <v>0.022011890438567994</v>
      </c>
      <c r="G18" s="7"/>
      <c r="H18" s="7"/>
      <c r="I18" s="8">
        <f>SUM(I6:I17)</f>
        <v>25467201.699933346</v>
      </c>
      <c r="L18" s="10">
        <f>SUM(L6:L17)</f>
        <v>12</v>
      </c>
      <c r="Q18" s="2">
        <f>(F6+F7+F8+F9+F10+F11+F12+F13+F14+F15+F16+F17)/L18</f>
        <v>0.031258839620011775</v>
      </c>
      <c r="U18" s="20">
        <f>SUM(U6:U17)</f>
        <v>25689375.396666672</v>
      </c>
    </row>
    <row r="22" spans="1:10" ht="12.75">
      <c r="A22" s="12"/>
      <c r="B22" s="12"/>
      <c r="C22" s="12" t="s">
        <v>30</v>
      </c>
      <c r="D22" s="12"/>
      <c r="E22" s="12"/>
      <c r="F22" s="12"/>
      <c r="G22" s="12"/>
      <c r="H22" s="12"/>
      <c r="I22" s="12"/>
      <c r="J22" s="12"/>
    </row>
    <row r="23" spans="1:10" ht="12.75">
      <c r="A23" s="12"/>
      <c r="B23" s="12"/>
      <c r="C23" s="12" t="s">
        <v>31</v>
      </c>
      <c r="D23" s="12"/>
      <c r="E23" s="12"/>
      <c r="F23" s="12"/>
      <c r="G23" s="12"/>
      <c r="H23" s="12"/>
      <c r="I23" s="12"/>
      <c r="J23" s="12"/>
    </row>
    <row r="24" spans="1:13" ht="12.75">
      <c r="A24" s="12"/>
      <c r="B24" s="12"/>
      <c r="C24" s="12" t="s">
        <v>32</v>
      </c>
      <c r="D24" s="12">
        <f>+B27</f>
        <v>2015</v>
      </c>
      <c r="E24" s="12" t="s">
        <v>3</v>
      </c>
      <c r="F24" s="12">
        <f>+B27+1</f>
        <v>2016</v>
      </c>
      <c r="G24" s="12"/>
      <c r="H24" s="12"/>
      <c r="I24" s="12"/>
      <c r="J24" s="12" t="s">
        <v>39</v>
      </c>
      <c r="M24">
        <f>70833.33*12</f>
        <v>849999.96</v>
      </c>
    </row>
    <row r="25" spans="1:10" ht="12.75">
      <c r="A25" s="12"/>
      <c r="B25" s="12" t="s">
        <v>33</v>
      </c>
      <c r="C25" s="12" t="s">
        <v>34</v>
      </c>
      <c r="D25" s="12" t="s">
        <v>35</v>
      </c>
      <c r="E25" s="12" t="s">
        <v>89</v>
      </c>
      <c r="F25" s="12" t="s">
        <v>36</v>
      </c>
      <c r="G25" s="12" t="s">
        <v>76</v>
      </c>
      <c r="H25" s="12" t="s">
        <v>77</v>
      </c>
      <c r="I25" s="12" t="s">
        <v>87</v>
      </c>
      <c r="J25" s="12" t="s">
        <v>88</v>
      </c>
    </row>
    <row r="26" spans="1:10" ht="12.75">
      <c r="A26" s="12" t="s">
        <v>14</v>
      </c>
      <c r="B26" s="12" t="s">
        <v>15</v>
      </c>
      <c r="C26" s="12"/>
      <c r="D26" s="12"/>
      <c r="E26" s="70">
        <v>1100000</v>
      </c>
      <c r="F26" s="69"/>
      <c r="G26" s="12"/>
      <c r="H26" s="12"/>
      <c r="I26" s="12"/>
      <c r="J26" s="12"/>
    </row>
    <row r="27" spans="1:10" ht="12.75">
      <c r="A27" s="67">
        <v>11</v>
      </c>
      <c r="B27" s="67">
        <v>2015</v>
      </c>
      <c r="C27" s="68">
        <v>45813.39866688001</v>
      </c>
      <c r="D27" s="68">
        <v>1422564.7637331204</v>
      </c>
      <c r="E27" s="68">
        <v>91666.66666666667</v>
      </c>
      <c r="F27" s="68">
        <v>761872.1915732054</v>
      </c>
      <c r="G27" s="68">
        <v>284512.95274662407</v>
      </c>
      <c r="H27" s="68">
        <v>284512.95274662407</v>
      </c>
      <c r="I27" s="68">
        <v>1468378.1624000005</v>
      </c>
      <c r="J27" s="68">
        <v>1422564.7637331204</v>
      </c>
    </row>
    <row r="28" spans="1:10" ht="12.75">
      <c r="A28" s="45">
        <v>12</v>
      </c>
      <c r="B28" s="45">
        <v>2015</v>
      </c>
      <c r="C28" s="47">
        <v>54938.10906480002</v>
      </c>
      <c r="D28" s="47">
        <v>1705898.7199352006</v>
      </c>
      <c r="E28" s="47">
        <v>91666.66666666667</v>
      </c>
      <c r="F28" s="47">
        <v>931872.5652944536</v>
      </c>
      <c r="G28" s="47">
        <v>341179.7439870401</v>
      </c>
      <c r="H28" s="47">
        <v>341179.7439870401</v>
      </c>
      <c r="I28" s="47">
        <v>1760836.8290000006</v>
      </c>
      <c r="J28" s="47">
        <v>1705898.7199352006</v>
      </c>
    </row>
    <row r="29" spans="1:10" ht="12.75">
      <c r="A29" s="45">
        <v>1</v>
      </c>
      <c r="B29" s="45">
        <v>2016</v>
      </c>
      <c r="C29" s="47">
        <v>66487.97425920003</v>
      </c>
      <c r="D29" s="47">
        <v>2064536.841740801</v>
      </c>
      <c r="E29" s="47">
        <v>91666.66666666667</v>
      </c>
      <c r="F29" s="47">
        <v>1147055.4383778137</v>
      </c>
      <c r="G29" s="47">
        <v>412907.36834816023</v>
      </c>
      <c r="H29" s="47">
        <v>412907.36834816023</v>
      </c>
      <c r="I29" s="47">
        <v>2131024.8160000006</v>
      </c>
      <c r="J29" s="47">
        <v>2064536.8417408005</v>
      </c>
    </row>
    <row r="30" spans="1:10" ht="12.75">
      <c r="A30" s="45">
        <v>2</v>
      </c>
      <c r="B30" s="45">
        <v>2016</v>
      </c>
      <c r="C30" s="47">
        <v>73143.10412448003</v>
      </c>
      <c r="D30" s="47">
        <v>2271187.156275521</v>
      </c>
      <c r="E30" s="47">
        <v>91666.66666666667</v>
      </c>
      <c r="F30" s="47">
        <v>1271045.627098646</v>
      </c>
      <c r="G30" s="47">
        <v>454237.43125510425</v>
      </c>
      <c r="H30" s="47">
        <v>454237.43125510425</v>
      </c>
      <c r="I30" s="47">
        <v>2344330.260400001</v>
      </c>
      <c r="J30" s="47">
        <v>2271187.156275521</v>
      </c>
    </row>
    <row r="31" spans="1:10" ht="12.75">
      <c r="A31" s="45">
        <v>3</v>
      </c>
      <c r="B31" s="45">
        <v>2016</v>
      </c>
      <c r="C31" s="47">
        <v>88307.57275600004</v>
      </c>
      <c r="D31" s="47">
        <v>2742063.348910668</v>
      </c>
      <c r="E31" s="47">
        <v>91666.66666666667</v>
      </c>
      <c r="F31" s="47">
        <v>1553571.3426797339</v>
      </c>
      <c r="G31" s="47">
        <v>548412.6697821337</v>
      </c>
      <c r="H31" s="47">
        <v>548412.6697821337</v>
      </c>
      <c r="I31" s="47">
        <v>2830370.9216666673</v>
      </c>
      <c r="J31" s="47">
        <v>2742063.3489106675</v>
      </c>
    </row>
    <row r="32" spans="1:10" ht="12.75">
      <c r="A32" s="45">
        <v>4</v>
      </c>
      <c r="B32" s="45">
        <v>2016</v>
      </c>
      <c r="C32" s="47">
        <v>90728.44681056001</v>
      </c>
      <c r="D32" s="47">
        <v>2817234.591989441</v>
      </c>
      <c r="E32" s="47">
        <v>91666.66666666667</v>
      </c>
      <c r="F32" s="47">
        <v>1598674.0885269982</v>
      </c>
      <c r="G32" s="47">
        <v>563446.9183978882</v>
      </c>
      <c r="H32" s="47">
        <v>563446.9183978882</v>
      </c>
      <c r="I32" s="47">
        <v>2907963.038800001</v>
      </c>
      <c r="J32" s="47">
        <v>2817234.5919894413</v>
      </c>
    </row>
    <row r="33" spans="1:10" ht="12.75">
      <c r="A33" s="45">
        <v>5</v>
      </c>
      <c r="B33" s="45">
        <v>2016</v>
      </c>
      <c r="C33" s="47">
        <v>92776.46939392004</v>
      </c>
      <c r="D33" s="47">
        <v>2880828.318872748</v>
      </c>
      <c r="E33" s="47">
        <v>91666.66666666667</v>
      </c>
      <c r="F33" s="47">
        <v>1636830.3246569824</v>
      </c>
      <c r="G33" s="47">
        <v>576165.6637745496</v>
      </c>
      <c r="H33" s="47">
        <v>576165.6637745496</v>
      </c>
      <c r="I33" s="47">
        <v>2973604.7882666686</v>
      </c>
      <c r="J33" s="47">
        <v>2880828.3188727484</v>
      </c>
    </row>
    <row r="34" spans="1:10" ht="12.75">
      <c r="A34" s="45">
        <v>6</v>
      </c>
      <c r="B34" s="45">
        <v>2016</v>
      </c>
      <c r="C34" s="47">
        <v>68546.47867808002</v>
      </c>
      <c r="D34" s="47">
        <v>2128456.043055254</v>
      </c>
      <c r="E34" s="47">
        <v>91666.66666666667</v>
      </c>
      <c r="F34" s="47">
        <v>1185406.9591664856</v>
      </c>
      <c r="G34" s="47">
        <v>425691.20861105085</v>
      </c>
      <c r="H34" s="47">
        <v>425691.20861105085</v>
      </c>
      <c r="I34" s="47">
        <v>2197002.5217333343</v>
      </c>
      <c r="J34" s="47">
        <v>2128456.043055254</v>
      </c>
    </row>
    <row r="35" spans="1:10" ht="12.75">
      <c r="A35" s="45">
        <v>7</v>
      </c>
      <c r="B35" s="45">
        <v>2016</v>
      </c>
      <c r="C35" s="47">
        <v>60141.87231728002</v>
      </c>
      <c r="D35" s="47">
        <v>1867482.240416054</v>
      </c>
      <c r="E35" s="47">
        <v>91666.66666666667</v>
      </c>
      <c r="F35" s="47">
        <v>1028822.6775829657</v>
      </c>
      <c r="G35" s="47">
        <v>373496.4480832108</v>
      </c>
      <c r="H35" s="47">
        <v>373496.4480832108</v>
      </c>
      <c r="I35" s="47">
        <v>1927624.1127333338</v>
      </c>
      <c r="J35" s="47">
        <v>1867482.240416054</v>
      </c>
    </row>
    <row r="36" spans="1:10" ht="12.75">
      <c r="A36" s="45">
        <v>8</v>
      </c>
      <c r="B36" s="45">
        <v>2016</v>
      </c>
      <c r="C36" s="47">
        <v>47761.86197120002</v>
      </c>
      <c r="D36" s="47">
        <v>1483067.047362134</v>
      </c>
      <c r="E36" s="47">
        <v>91666.66666666667</v>
      </c>
      <c r="F36" s="47">
        <v>798173.5617506136</v>
      </c>
      <c r="G36" s="47">
        <v>296613.4094724268</v>
      </c>
      <c r="H36" s="47">
        <v>296613.4094724268</v>
      </c>
      <c r="I36" s="47">
        <v>1530828.909333334</v>
      </c>
      <c r="J36" s="47">
        <v>1483067.047362134</v>
      </c>
    </row>
    <row r="37" spans="1:12" ht="12.75">
      <c r="A37" s="45">
        <v>9</v>
      </c>
      <c r="B37" s="45">
        <v>2016</v>
      </c>
      <c r="C37" s="47">
        <v>56597.81950992002</v>
      </c>
      <c r="D37" s="47">
        <v>1757434.8570900806</v>
      </c>
      <c r="E37" s="47">
        <v>91666.66666666667</v>
      </c>
      <c r="F37" s="47">
        <v>962794.2475873816</v>
      </c>
      <c r="G37" s="47">
        <v>351486.9714180161</v>
      </c>
      <c r="H37" s="47">
        <v>351486.9714180161</v>
      </c>
      <c r="I37" s="47">
        <v>1814032.6766000006</v>
      </c>
      <c r="J37" s="29">
        <v>1757434.8570900806</v>
      </c>
      <c r="K37" s="56"/>
      <c r="L37" s="26"/>
    </row>
    <row r="38" spans="1:13" ht="12.75">
      <c r="A38" s="45">
        <v>10</v>
      </c>
      <c r="B38" s="45">
        <v>2016</v>
      </c>
      <c r="C38" s="47">
        <v>49333.58548560002</v>
      </c>
      <c r="D38" s="47">
        <v>1531871.077514401</v>
      </c>
      <c r="E38" s="47">
        <v>91666.66666666667</v>
      </c>
      <c r="F38" s="47">
        <v>827455.9798419736</v>
      </c>
      <c r="G38" s="47">
        <v>306374.2155028802</v>
      </c>
      <c r="H38" s="47">
        <v>306374.2155028802</v>
      </c>
      <c r="I38" s="47">
        <v>1581204.6630000009</v>
      </c>
      <c r="J38" s="47">
        <v>1531871.077514401</v>
      </c>
      <c r="L38" s="44"/>
      <c r="M38" s="56"/>
    </row>
    <row r="39" spans="1:11" ht="12.75">
      <c r="A39" s="13"/>
      <c r="B39" s="13"/>
      <c r="C39" s="14">
        <f aca="true" t="shared" si="5" ref="C39:J39">SUM(C27:C38)</f>
        <v>794576.6930379202</v>
      </c>
      <c r="D39" s="14">
        <f t="shared" si="5"/>
        <v>24672625.006895427</v>
      </c>
      <c r="E39" s="14">
        <f t="shared" si="5"/>
        <v>1099999.9999999998</v>
      </c>
      <c r="F39" s="14">
        <f t="shared" si="5"/>
        <v>13703575.004137252</v>
      </c>
      <c r="G39" s="14">
        <f t="shared" si="5"/>
        <v>4934525.001379084</v>
      </c>
      <c r="H39" s="14">
        <f t="shared" si="5"/>
        <v>4934525.001379084</v>
      </c>
      <c r="I39" s="14">
        <f t="shared" si="5"/>
        <v>25467201.699933343</v>
      </c>
      <c r="J39" s="14">
        <f t="shared" si="5"/>
        <v>24672625.006895427</v>
      </c>
      <c r="K39" s="1"/>
    </row>
    <row r="43" spans="10:15" ht="12.75">
      <c r="J43" s="56"/>
      <c r="K43" s="47"/>
      <c r="L43" s="47"/>
      <c r="M43" s="56"/>
      <c r="N43" s="56"/>
      <c r="O43" s="56"/>
    </row>
    <row r="44" spans="10:15" ht="12.75">
      <c r="J44" s="56"/>
      <c r="K44" s="47"/>
      <c r="L44" s="47"/>
      <c r="M44" s="56"/>
      <c r="N44" s="56"/>
      <c r="O44" s="56"/>
    </row>
    <row r="45" spans="11:13" ht="12.75">
      <c r="K45" s="47"/>
      <c r="L45" s="47"/>
      <c r="M45" s="56"/>
    </row>
    <row r="46" spans="11:15" ht="12.75">
      <c r="K46" s="47"/>
      <c r="L46" s="47"/>
      <c r="M46" s="56"/>
      <c r="O46" s="56"/>
    </row>
    <row r="47" spans="11:13" ht="12.75">
      <c r="K47" s="47"/>
      <c r="L47" s="47"/>
      <c r="M47" s="56"/>
    </row>
    <row r="48" spans="11:13" ht="12.75">
      <c r="K48" s="47"/>
      <c r="L48" s="47"/>
      <c r="M48" s="56"/>
    </row>
    <row r="49" spans="11:13" ht="12.75">
      <c r="K49" s="47"/>
      <c r="L49" s="47"/>
      <c r="M49" s="56"/>
    </row>
    <row r="50" spans="11:13" ht="12.75">
      <c r="K50" s="47"/>
      <c r="L50" s="47"/>
      <c r="M50" s="56"/>
    </row>
    <row r="51" spans="11:13" ht="12.75">
      <c r="K51" s="47"/>
      <c r="L51" s="47"/>
      <c r="M51" s="56"/>
    </row>
    <row r="52" spans="11:13" ht="12.75">
      <c r="K52" s="47"/>
      <c r="L52" s="47"/>
      <c r="M52" s="56"/>
    </row>
    <row r="53" spans="11:13" ht="12.75">
      <c r="K53" s="47"/>
      <c r="L53" s="47"/>
      <c r="M53" s="56"/>
    </row>
    <row r="54" spans="11:13" ht="12.75">
      <c r="K54" s="47"/>
      <c r="L54" s="47"/>
      <c r="M54" s="56"/>
    </row>
    <row r="71" spans="1:9" ht="12.75">
      <c r="A71" s="11"/>
      <c r="B71" s="11"/>
      <c r="C71" s="11" t="s">
        <v>24</v>
      </c>
      <c r="D71" s="11"/>
      <c r="E71" s="11"/>
      <c r="F71" s="11"/>
      <c r="G71" s="11"/>
      <c r="H71" s="11"/>
      <c r="I71" s="11"/>
    </row>
    <row r="72" spans="1:9" ht="12.75">
      <c r="A72" s="11"/>
      <c r="B72" s="11"/>
      <c r="C72" s="11" t="s">
        <v>25</v>
      </c>
      <c r="D72" s="11"/>
      <c r="E72" s="11"/>
      <c r="F72" s="11"/>
      <c r="G72" s="11"/>
      <c r="H72" s="11"/>
      <c r="I72" s="11"/>
    </row>
    <row r="73" spans="1:9" ht="12.75">
      <c r="A73" s="11"/>
      <c r="B73" s="11"/>
      <c r="C73" s="11" t="s">
        <v>26</v>
      </c>
      <c r="D73" s="11">
        <f>+B6</f>
        <v>2015</v>
      </c>
      <c r="E73" s="11" t="s">
        <v>3</v>
      </c>
      <c r="F73" s="11">
        <f>+D73+1</f>
        <v>2016</v>
      </c>
      <c r="G73" s="11"/>
      <c r="H73" s="11"/>
      <c r="I73" s="11"/>
    </row>
    <row r="74" spans="1:9" ht="12.75">
      <c r="A74" s="11"/>
      <c r="B74" s="11" t="s">
        <v>4</v>
      </c>
      <c r="C74" s="11" t="s">
        <v>19</v>
      </c>
      <c r="D74" s="11" t="s">
        <v>27</v>
      </c>
      <c r="E74" s="11" t="s">
        <v>28</v>
      </c>
      <c r="F74" s="11" t="s">
        <v>21</v>
      </c>
      <c r="G74" s="11" t="s">
        <v>22</v>
      </c>
      <c r="H74" s="11"/>
      <c r="I74" s="11" t="s">
        <v>29</v>
      </c>
    </row>
    <row r="75" spans="1:9" ht="12.75">
      <c r="A75" s="11" t="s">
        <v>63</v>
      </c>
      <c r="B75" s="11" t="s">
        <v>15</v>
      </c>
      <c r="C75" s="11"/>
      <c r="D75" s="11"/>
      <c r="E75" s="11"/>
      <c r="F75" s="11"/>
      <c r="G75" s="11" t="s">
        <v>68</v>
      </c>
      <c r="H75" s="11"/>
      <c r="I75" s="11"/>
    </row>
    <row r="76" spans="1:15" ht="12.75">
      <c r="A76">
        <v>1</v>
      </c>
      <c r="B76" t="str">
        <f>+B6&amp;"-"&amp;(B6+1)</f>
        <v>2015-2016</v>
      </c>
      <c r="C76" s="1">
        <f>+C6+C7+C8</f>
        <v>5526020.42</v>
      </c>
      <c r="D76" s="1">
        <f>+D6+D7+D8</f>
        <v>165780.61260000008</v>
      </c>
      <c r="E76" s="1">
        <f>+E6+E7+E8</f>
        <v>5360239.807400002</v>
      </c>
      <c r="F76" s="34">
        <f>+F6+F7+F8/O76</f>
        <v>0.28552379246810844</v>
      </c>
      <c r="G76" s="10">
        <f aca="true" t="shared" si="6" ref="G76:H79">+A76</f>
        <v>1</v>
      </c>
      <c r="H76" s="1" t="str">
        <f t="shared" si="6"/>
        <v>2015-2016</v>
      </c>
      <c r="I76" s="1">
        <f>+I6+I7+I8</f>
        <v>5360239.807400002</v>
      </c>
      <c r="L76" s="10"/>
      <c r="O76" s="10">
        <f>+L6+L7+L8</f>
        <v>3</v>
      </c>
    </row>
    <row r="77" spans="1:15" ht="12.75">
      <c r="A77">
        <v>2</v>
      </c>
      <c r="B77" t="str">
        <f>+B76</f>
        <v>2015-2016</v>
      </c>
      <c r="C77" s="1">
        <f aca="true" t="shared" si="7" ref="C77:E78">+C9+C10+C11</f>
        <v>8332643.526666669</v>
      </c>
      <c r="D77" s="1">
        <f t="shared" si="7"/>
        <v>249979.30580000012</v>
      </c>
      <c r="E77" s="1">
        <f t="shared" si="7"/>
        <v>8082664.22086667</v>
      </c>
      <c r="F77" s="34">
        <f>+F7+F8+F9/O77</f>
        <v>0.2008763732159423</v>
      </c>
      <c r="G77" s="10">
        <f t="shared" si="6"/>
        <v>2</v>
      </c>
      <c r="H77" s="1" t="str">
        <f t="shared" si="6"/>
        <v>2015-2016</v>
      </c>
      <c r="I77" s="1">
        <f>+I9+I10+I11</f>
        <v>8082664.220866669</v>
      </c>
      <c r="L77" s="10"/>
      <c r="O77" s="10">
        <f>+L9+L10+L11</f>
        <v>3</v>
      </c>
    </row>
    <row r="78" spans="1:15" ht="12.75">
      <c r="A78">
        <v>3</v>
      </c>
      <c r="B78" t="str">
        <f>+B76</f>
        <v>2015-2016</v>
      </c>
      <c r="C78" s="1">
        <f t="shared" si="7"/>
        <v>8981380.153333336</v>
      </c>
      <c r="D78" s="1">
        <f t="shared" si="7"/>
        <v>269441.4046000001</v>
      </c>
      <c r="E78" s="1">
        <f t="shared" si="7"/>
        <v>8711938.748733338</v>
      </c>
      <c r="F78" s="34">
        <f>+F8+F9+F10/O78</f>
        <v>0.04945974191532465</v>
      </c>
      <c r="G78" s="10">
        <f t="shared" si="6"/>
        <v>3</v>
      </c>
      <c r="H78" s="1" t="str">
        <f t="shared" si="6"/>
        <v>2015-2016</v>
      </c>
      <c r="I78" s="1">
        <f>+I10+I11+I12</f>
        <v>8711938.748733336</v>
      </c>
      <c r="O78" s="10">
        <f>+L12+L13+L14</f>
        <v>3</v>
      </c>
    </row>
    <row r="79" spans="1:15" ht="12.75">
      <c r="A79">
        <v>4</v>
      </c>
      <c r="B79" t="str">
        <f>+B76</f>
        <v>2015-2016</v>
      </c>
      <c r="C79" s="1">
        <f>+C13+C14+C15</f>
        <v>5830366.540000003</v>
      </c>
      <c r="D79" s="1">
        <f>+D13+D14+D15</f>
        <v>174910.99620000005</v>
      </c>
      <c r="E79" s="1">
        <f>+E13+E14+E15</f>
        <v>5655455.543800002</v>
      </c>
      <c r="F79" s="1">
        <f>+F13+F14+F15</f>
        <v>-0.027994827190596983</v>
      </c>
      <c r="G79" s="10">
        <f t="shared" si="6"/>
        <v>4</v>
      </c>
      <c r="H79" s="1" t="str">
        <f t="shared" si="6"/>
        <v>2015-2016</v>
      </c>
      <c r="I79" s="1">
        <f>+I13+I14+I15</f>
        <v>5655455.543800002</v>
      </c>
      <c r="O79" s="10">
        <f>+L15+L16+L17</f>
        <v>3</v>
      </c>
    </row>
    <row r="80" spans="1:9" ht="12.75">
      <c r="A80" s="3" t="s">
        <v>69</v>
      </c>
      <c r="B80" s="3"/>
      <c r="C80" s="35">
        <f>SUM(C76:C79)</f>
        <v>28670410.640000008</v>
      </c>
      <c r="D80" s="35">
        <f>SUM(D76:D79)</f>
        <v>860112.3192000004</v>
      </c>
      <c r="E80" s="35">
        <f>SUM(E76:E79)</f>
        <v>27810298.320800014</v>
      </c>
      <c r="F80" s="36">
        <f>+F18</f>
        <v>0.022011890438567994</v>
      </c>
      <c r="G80" s="37"/>
      <c r="H80" s="3"/>
      <c r="I80" s="35">
        <f>SUM(I76:I79)</f>
        <v>27810298.320800014</v>
      </c>
    </row>
    <row r="86" spans="1:9" ht="12.75">
      <c r="A86" s="12"/>
      <c r="B86" s="12"/>
      <c r="C86" s="12" t="s">
        <v>30</v>
      </c>
      <c r="D86" s="12"/>
      <c r="E86" s="12"/>
      <c r="F86" s="12"/>
      <c r="G86" s="12"/>
      <c r="H86" s="12"/>
      <c r="I86" s="12"/>
    </row>
    <row r="87" spans="1:9" ht="12.75">
      <c r="A87" s="12"/>
      <c r="B87" s="12"/>
      <c r="C87" s="12" t="s">
        <v>31</v>
      </c>
      <c r="D87" s="12"/>
      <c r="E87" s="12"/>
      <c r="F87" s="12"/>
      <c r="G87" s="12"/>
      <c r="H87" s="12"/>
      <c r="I87" s="12"/>
    </row>
    <row r="88" spans="1:9" ht="12.75">
      <c r="A88" s="12"/>
      <c r="B88" s="11" t="s">
        <v>4</v>
      </c>
      <c r="C88" s="12" t="s">
        <v>32</v>
      </c>
      <c r="D88" s="12">
        <f>+B6</f>
        <v>2015</v>
      </c>
      <c r="E88" s="12" t="s">
        <v>3</v>
      </c>
      <c r="F88" s="12">
        <f>+D88+1</f>
        <v>2016</v>
      </c>
      <c r="G88" s="12"/>
      <c r="H88" s="12"/>
      <c r="I88" s="12"/>
    </row>
    <row r="89" spans="1:9" ht="12.75">
      <c r="A89" s="12" t="s">
        <v>63</v>
      </c>
      <c r="B89" s="11" t="s">
        <v>15</v>
      </c>
      <c r="C89" s="12" t="s">
        <v>34</v>
      </c>
      <c r="D89" s="12" t="s">
        <v>35</v>
      </c>
      <c r="E89" s="12" t="s">
        <v>62</v>
      </c>
      <c r="F89" s="12" t="s">
        <v>36</v>
      </c>
      <c r="G89" s="12" t="s">
        <v>37</v>
      </c>
      <c r="H89" s="12" t="s">
        <v>38</v>
      </c>
      <c r="I89" s="12" t="s">
        <v>39</v>
      </c>
    </row>
    <row r="90" spans="1:9" ht="12.75">
      <c r="A90">
        <f>+A76</f>
        <v>1</v>
      </c>
      <c r="B90" t="str">
        <f>+B76</f>
        <v>2015-2016</v>
      </c>
      <c r="C90" s="1">
        <f aca="true" t="shared" si="8" ref="C90:H90">+C27+C28+C29</f>
        <v>167239.48199088004</v>
      </c>
      <c r="D90" s="1">
        <f t="shared" si="8"/>
        <v>5193000.325409122</v>
      </c>
      <c r="E90" s="1">
        <f t="shared" si="8"/>
        <v>275000</v>
      </c>
      <c r="F90" s="1">
        <f t="shared" si="8"/>
        <v>2840800.1952454727</v>
      </c>
      <c r="G90" s="1">
        <f t="shared" si="8"/>
        <v>1038600.0650818245</v>
      </c>
      <c r="H90" s="1">
        <f t="shared" si="8"/>
        <v>1038600.0650818245</v>
      </c>
      <c r="I90" s="1">
        <f>+J27+J28+J29</f>
        <v>5193000.325409122</v>
      </c>
    </row>
    <row r="91" spans="1:9" ht="12.75">
      <c r="A91">
        <f>+A77</f>
        <v>2</v>
      </c>
      <c r="B91" t="str">
        <f>+B90</f>
        <v>2015-2016</v>
      </c>
      <c r="C91" s="1">
        <f aca="true" t="shared" si="9" ref="C91:H91">+C30+C31+C32</f>
        <v>252179.1236910401</v>
      </c>
      <c r="D91" s="1">
        <f t="shared" si="9"/>
        <v>7830485.09717563</v>
      </c>
      <c r="E91" s="1">
        <f t="shared" si="9"/>
        <v>275000</v>
      </c>
      <c r="F91" s="1">
        <f t="shared" si="9"/>
        <v>4423291.058305378</v>
      </c>
      <c r="G91" s="1">
        <f t="shared" si="9"/>
        <v>1566097.019435126</v>
      </c>
      <c r="H91" s="1">
        <f t="shared" si="9"/>
        <v>1566097.019435126</v>
      </c>
      <c r="I91" s="1">
        <f>+J30+J31+J32</f>
        <v>7830485.09717563</v>
      </c>
    </row>
    <row r="92" spans="1:9" ht="12.75">
      <c r="A92">
        <f>+A78</f>
        <v>3</v>
      </c>
      <c r="B92" t="str">
        <f>+B90</f>
        <v>2015-2016</v>
      </c>
      <c r="C92" s="1">
        <f>+C33+C34+C35</f>
        <v>221464.82038928007</v>
      </c>
      <c r="D92" s="1">
        <f>+D33+D34+D35</f>
        <v>6876766.602344056</v>
      </c>
      <c r="E92" s="1">
        <f>+E33+E34+E35</f>
        <v>275000</v>
      </c>
      <c r="F92" s="1">
        <f>+F33+F34+F35</f>
        <v>3851059.9614064335</v>
      </c>
      <c r="G92" s="1">
        <f>+G33+G34+G35</f>
        <v>1375353.3204688113</v>
      </c>
      <c r="H92" s="1">
        <f>+H33+H34+I35</f>
        <v>2929480.9851189344</v>
      </c>
      <c r="I92" s="1">
        <f>+J33+J34+J35</f>
        <v>6876766.602344057</v>
      </c>
    </row>
    <row r="93" spans="1:9" ht="12.75">
      <c r="A93">
        <f>+A79</f>
        <v>4</v>
      </c>
      <c r="B93" t="str">
        <f>+B90</f>
        <v>2015-2016</v>
      </c>
      <c r="C93" s="1">
        <f>+C36+C37+C38</f>
        <v>153693.26696672005</v>
      </c>
      <c r="D93" s="1">
        <f>+D36+D37+D38</f>
        <v>4772372.981966616</v>
      </c>
      <c r="E93" s="1">
        <f>+E36+E37+E38</f>
        <v>275000</v>
      </c>
      <c r="F93" s="1">
        <f>+F36+F37+F38</f>
        <v>2588423.7891799686</v>
      </c>
      <c r="G93" s="1">
        <f>+G36+G37+G38</f>
        <v>954474.5963933233</v>
      </c>
      <c r="H93" s="1">
        <f>+I36+I37+I38</f>
        <v>4926066.248933336</v>
      </c>
      <c r="I93" s="1">
        <f>+J36+J37+J38</f>
        <v>4772372.981966616</v>
      </c>
    </row>
    <row r="94" spans="1:9" ht="12.75">
      <c r="A94" s="3" t="s">
        <v>69</v>
      </c>
      <c r="B94" s="3"/>
      <c r="C94" s="35">
        <f aca="true" t="shared" si="10" ref="C94:I94">SUM(C90:C93)</f>
        <v>794576.6930379202</v>
      </c>
      <c r="D94" s="35">
        <f t="shared" si="10"/>
        <v>24672625.006895423</v>
      </c>
      <c r="E94" s="35">
        <f t="shared" si="10"/>
        <v>1100000</v>
      </c>
      <c r="F94" s="35">
        <f t="shared" si="10"/>
        <v>13703575.004137252</v>
      </c>
      <c r="G94" s="35">
        <f t="shared" si="10"/>
        <v>4934525.001379086</v>
      </c>
      <c r="H94" s="35">
        <f t="shared" si="10"/>
        <v>10460244.31856922</v>
      </c>
      <c r="I94" s="35">
        <f t="shared" si="10"/>
        <v>24672625.006895423</v>
      </c>
    </row>
  </sheetData>
  <sheetProtection/>
  <printOptions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W60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10.421875" style="0" customWidth="1"/>
    <col min="9" max="9" width="17.0039062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</cols>
  <sheetData>
    <row r="1" spans="1:9" ht="12.75">
      <c r="A1" s="3"/>
      <c r="B1" s="3" t="s">
        <v>0</v>
      </c>
      <c r="C1" s="3"/>
      <c r="D1" s="3"/>
      <c r="E1" s="3"/>
      <c r="F1" s="3"/>
      <c r="G1" s="3"/>
      <c r="H1" s="3"/>
      <c r="I1" s="3"/>
    </row>
    <row r="2" spans="1:9" ht="12.75">
      <c r="A2" s="3"/>
      <c r="B2" s="3" t="s">
        <v>16</v>
      </c>
      <c r="C2" s="3"/>
      <c r="D2" s="3"/>
      <c r="E2" s="3"/>
      <c r="F2" s="3"/>
      <c r="G2" s="3"/>
      <c r="H2" s="3"/>
      <c r="I2" s="3"/>
    </row>
    <row r="3" spans="1:15" ht="12.75">
      <c r="A3" s="3"/>
      <c r="B3" s="3" t="s">
        <v>17</v>
      </c>
      <c r="C3" s="3">
        <f>+B6</f>
        <v>2015</v>
      </c>
      <c r="D3" s="3" t="s">
        <v>3</v>
      </c>
      <c r="E3" s="3">
        <f>+B6+1</f>
        <v>2016</v>
      </c>
      <c r="F3" s="3"/>
      <c r="G3" s="3"/>
      <c r="H3" s="3"/>
      <c r="I3" s="3"/>
      <c r="M3">
        <f>+B6-1</f>
        <v>2014</v>
      </c>
      <c r="N3" t="s">
        <v>3</v>
      </c>
      <c r="O3">
        <f>+B6</f>
        <v>2015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23" s="46" customFormat="1" ht="15.75" customHeight="1">
      <c r="A6" s="45">
        <v>10</v>
      </c>
      <c r="B6" s="45">
        <v>2015</v>
      </c>
      <c r="C6" s="47">
        <v>756895.96</v>
      </c>
      <c r="D6" s="47">
        <v>22706.87880000001</v>
      </c>
      <c r="E6" s="47">
        <v>734189.0812000002</v>
      </c>
      <c r="F6" s="48">
        <v>0.10045998038178627</v>
      </c>
      <c r="G6" s="45">
        <v>11</v>
      </c>
      <c r="H6" s="45">
        <v>2015</v>
      </c>
      <c r="I6" s="47">
        <v>734189.0812000002</v>
      </c>
      <c r="L6" s="49">
        <f aca="true" t="shared" si="0" ref="L6:L17">IF(A6&gt;0,1,0)</f>
        <v>1</v>
      </c>
      <c r="M6" s="50">
        <f>DATE(B6,A6,1)</f>
        <v>42278</v>
      </c>
      <c r="N6" s="51">
        <f aca="true" t="shared" si="1" ref="N6:N17">IF(A6&gt;0,M6,"")</f>
        <v>42278</v>
      </c>
      <c r="Q6" s="77"/>
      <c r="R6" s="83">
        <f>IF(L6=1,(F6+1),0)</f>
        <v>1.1004599803817863</v>
      </c>
      <c r="S6" s="84">
        <f>IF(L6=1,C6/R6,0)</f>
        <v>687799.6233333333</v>
      </c>
      <c r="T6" s="77"/>
      <c r="U6" s="77"/>
      <c r="V6" s="77"/>
      <c r="W6" s="77"/>
    </row>
    <row r="7" spans="1:23" ht="12.75">
      <c r="A7" s="45">
        <v>11</v>
      </c>
      <c r="B7" s="45">
        <v>2015</v>
      </c>
      <c r="C7" s="47">
        <v>907647.85</v>
      </c>
      <c r="D7" s="47">
        <v>27229.43550000001</v>
      </c>
      <c r="E7" s="47">
        <v>880418.4145000003</v>
      </c>
      <c r="F7" s="48">
        <v>0.183170012293709</v>
      </c>
      <c r="G7" s="45">
        <v>12</v>
      </c>
      <c r="H7" s="45">
        <v>2015</v>
      </c>
      <c r="I7" s="47">
        <v>880418.4145000003</v>
      </c>
      <c r="L7" s="49">
        <f t="shared" si="0"/>
        <v>1</v>
      </c>
      <c r="M7" s="50">
        <f aca="true" t="shared" si="2" ref="M7:M17">DATE(B7,A7,1)</f>
        <v>42309</v>
      </c>
      <c r="N7" s="51">
        <f t="shared" si="1"/>
        <v>42309</v>
      </c>
      <c r="Q7" s="77"/>
      <c r="R7" s="83">
        <f aca="true" t="shared" si="3" ref="R7:R17">IF(L7=1,(F7+1),0)</f>
        <v>1.183170012293709</v>
      </c>
      <c r="S7" s="84">
        <f aca="true" t="shared" si="4" ref="S7:S17">IF(L7=1,C7/R7,0)</f>
        <v>767132.2299999996</v>
      </c>
      <c r="T7" s="77"/>
      <c r="U7" s="77"/>
      <c r="V7" s="77"/>
      <c r="W7" s="77"/>
    </row>
    <row r="8" spans="1:23" ht="12.75">
      <c r="A8" s="45">
        <v>12</v>
      </c>
      <c r="B8" s="45">
        <v>2015</v>
      </c>
      <c r="C8" s="47">
        <v>1098466.4</v>
      </c>
      <c r="D8" s="47">
        <v>32953.99200000002</v>
      </c>
      <c r="E8" s="47">
        <v>1065512.4080000005</v>
      </c>
      <c r="F8" s="48">
        <v>0.005681399377839513</v>
      </c>
      <c r="G8" s="45">
        <v>1</v>
      </c>
      <c r="H8" s="45">
        <v>2016</v>
      </c>
      <c r="I8" s="47">
        <v>1065512.4080000005</v>
      </c>
      <c r="L8" s="49">
        <f t="shared" si="0"/>
        <v>1</v>
      </c>
      <c r="M8" s="50">
        <f t="shared" si="2"/>
        <v>42339</v>
      </c>
      <c r="N8" s="51">
        <f t="shared" si="1"/>
        <v>42339</v>
      </c>
      <c r="Q8" s="77"/>
      <c r="R8" s="83">
        <f t="shared" si="3"/>
        <v>1.0056813993778395</v>
      </c>
      <c r="S8" s="84">
        <f t="shared" si="4"/>
        <v>1092260.8299999994</v>
      </c>
      <c r="T8" s="77"/>
      <c r="U8" s="77"/>
      <c r="V8" s="77"/>
      <c r="W8" s="77"/>
    </row>
    <row r="9" spans="1:23" ht="12.75">
      <c r="A9" s="45">
        <v>1</v>
      </c>
      <c r="B9" s="45">
        <v>2016</v>
      </c>
      <c r="C9" s="47">
        <v>1208417.66</v>
      </c>
      <c r="D9" s="47">
        <v>36252.52980000002</v>
      </c>
      <c r="E9" s="47">
        <v>1172165.1302000005</v>
      </c>
      <c r="F9" s="48">
        <v>0.036074884633181314</v>
      </c>
      <c r="G9" s="45">
        <v>2</v>
      </c>
      <c r="H9" s="45">
        <v>2016</v>
      </c>
      <c r="I9" s="47">
        <v>1172165.1302000005</v>
      </c>
      <c r="L9" s="49">
        <f t="shared" si="0"/>
        <v>1</v>
      </c>
      <c r="M9" s="50">
        <f t="shared" si="2"/>
        <v>42370</v>
      </c>
      <c r="N9" s="51">
        <f t="shared" si="1"/>
        <v>42370</v>
      </c>
      <c r="Q9" s="77"/>
      <c r="R9" s="83">
        <f t="shared" si="3"/>
        <v>1.0360748846331813</v>
      </c>
      <c r="S9" s="84">
        <f t="shared" si="4"/>
        <v>1166342.0066666668</v>
      </c>
      <c r="T9" s="77"/>
      <c r="U9" s="77"/>
      <c r="V9" s="77"/>
      <c r="W9" s="77"/>
    </row>
    <row r="10" spans="1:23" ht="12.75">
      <c r="A10" s="45">
        <v>2</v>
      </c>
      <c r="B10" s="45">
        <v>2016</v>
      </c>
      <c r="C10" s="47">
        <v>1458954.083333334</v>
      </c>
      <c r="D10" s="47">
        <v>43768.62250000002</v>
      </c>
      <c r="E10" s="47">
        <v>1415185.460833334</v>
      </c>
      <c r="F10" s="48">
        <v>0.02311037371291147</v>
      </c>
      <c r="G10" s="45">
        <v>3</v>
      </c>
      <c r="H10" s="45">
        <v>2016</v>
      </c>
      <c r="I10" s="47">
        <v>1415185.460833334</v>
      </c>
      <c r="L10" s="49">
        <f t="shared" si="0"/>
        <v>1</v>
      </c>
      <c r="M10" s="50">
        <f t="shared" si="2"/>
        <v>42401</v>
      </c>
      <c r="N10" s="51">
        <f t="shared" si="1"/>
        <v>42401</v>
      </c>
      <c r="Q10" s="77"/>
      <c r="R10" s="83">
        <f t="shared" si="3"/>
        <v>1.0231103737129115</v>
      </c>
      <c r="S10" s="84">
        <f t="shared" si="4"/>
        <v>1425998.7200000004</v>
      </c>
      <c r="T10" s="77"/>
      <c r="U10" s="77"/>
      <c r="V10" s="77"/>
      <c r="W10" s="77"/>
    </row>
    <row r="11" spans="1:23" ht="14.25" customHeight="1">
      <c r="A11" s="45">
        <v>3</v>
      </c>
      <c r="B11" s="45">
        <v>2016</v>
      </c>
      <c r="C11" s="47">
        <v>1498950.0200000005</v>
      </c>
      <c r="D11" s="47">
        <v>44968.500600000014</v>
      </c>
      <c r="E11" s="47">
        <v>1453981.5194000006</v>
      </c>
      <c r="F11" s="48">
        <v>0.0028324885457189364</v>
      </c>
      <c r="G11" s="45">
        <v>4</v>
      </c>
      <c r="H11" s="45">
        <v>2016</v>
      </c>
      <c r="I11" s="47">
        <v>1453981.5194000006</v>
      </c>
      <c r="L11" s="49">
        <f>IF(A11&gt;0,1,0)</f>
        <v>1</v>
      </c>
      <c r="M11" s="50">
        <f>DATE(B11,A11,1)</f>
        <v>42430</v>
      </c>
      <c r="N11" s="51">
        <f>IF(A11&gt;0,M11,"")</f>
        <v>42430</v>
      </c>
      <c r="Q11" s="77"/>
      <c r="R11" s="83">
        <f t="shared" si="3"/>
        <v>1.002832488545719</v>
      </c>
      <c r="S11" s="84">
        <f t="shared" si="4"/>
        <v>1494716.2533333339</v>
      </c>
      <c r="T11" s="77"/>
      <c r="U11" s="77"/>
      <c r="V11" s="77"/>
      <c r="W11" s="77"/>
    </row>
    <row r="12" spans="1:23" ht="12.75">
      <c r="A12" s="45">
        <v>4</v>
      </c>
      <c r="B12" s="45">
        <v>2016</v>
      </c>
      <c r="C12" s="47">
        <v>1532785.973333334</v>
      </c>
      <c r="D12" s="47">
        <v>45983.57920000002</v>
      </c>
      <c r="E12" s="47">
        <v>1486802.394133334</v>
      </c>
      <c r="F12" s="48">
        <v>-0.035614130909863984</v>
      </c>
      <c r="G12" s="45">
        <v>5</v>
      </c>
      <c r="H12" s="45">
        <v>2016</v>
      </c>
      <c r="I12" s="47">
        <v>1486802.394133334</v>
      </c>
      <c r="L12" s="49">
        <f>IF(A12&gt;0,1,0)</f>
        <v>1</v>
      </c>
      <c r="M12" s="50">
        <f>DATE(B12,A12,1)</f>
        <v>42461</v>
      </c>
      <c r="N12" s="51">
        <f>IF(A12&gt;0,M12,"")</f>
        <v>42461</v>
      </c>
      <c r="Q12" s="77"/>
      <c r="R12" s="83">
        <f t="shared" si="3"/>
        <v>0.964385869090136</v>
      </c>
      <c r="S12" s="84">
        <f t="shared" si="4"/>
        <v>1589390.7433333334</v>
      </c>
      <c r="T12" s="77"/>
      <c r="U12" s="77"/>
      <c r="V12" s="77"/>
      <c r="W12" s="77"/>
    </row>
    <row r="13" spans="1:23" ht="12.75">
      <c r="A13" s="45">
        <v>5</v>
      </c>
      <c r="B13" s="45">
        <v>2016</v>
      </c>
      <c r="C13" s="47">
        <v>1132475.526666667</v>
      </c>
      <c r="D13" s="47">
        <v>33974.26580000001</v>
      </c>
      <c r="E13" s="47">
        <v>1098501.2608666671</v>
      </c>
      <c r="F13" s="48">
        <v>-0.02251715423082923</v>
      </c>
      <c r="G13" s="45">
        <v>6</v>
      </c>
      <c r="H13" s="45">
        <v>2016</v>
      </c>
      <c r="I13" s="47">
        <v>1098501.2608666671</v>
      </c>
      <c r="L13" s="49">
        <f>IF(A13&gt;0,1,0)</f>
        <v>1</v>
      </c>
      <c r="M13" s="50">
        <f>DATE(B13,A13,1)</f>
        <v>42491</v>
      </c>
      <c r="N13" s="51">
        <f>IF(A13&gt;0,M13,"")</f>
        <v>42491</v>
      </c>
      <c r="Q13" s="77"/>
      <c r="R13" s="83">
        <f t="shared" si="3"/>
        <v>0.9774828457691708</v>
      </c>
      <c r="S13" s="84">
        <f>IF(L13=1,C13/R13,0)</f>
        <v>1158563.07</v>
      </c>
      <c r="T13" s="77"/>
      <c r="U13" s="77"/>
      <c r="V13" s="77"/>
      <c r="W13" s="77"/>
    </row>
    <row r="14" spans="1:23" ht="12.75">
      <c r="A14" s="45">
        <v>6</v>
      </c>
      <c r="B14" s="45">
        <v>2016</v>
      </c>
      <c r="C14" s="47">
        <v>993620.676666667</v>
      </c>
      <c r="D14" s="47">
        <v>29808.62030000001</v>
      </c>
      <c r="E14" s="47">
        <v>963812.0563666669</v>
      </c>
      <c r="F14" s="48">
        <v>-0.0027170443508980346</v>
      </c>
      <c r="G14" s="45">
        <v>7</v>
      </c>
      <c r="H14" s="45">
        <v>2016</v>
      </c>
      <c r="I14" s="47">
        <v>963812.0563666669</v>
      </c>
      <c r="L14" s="49">
        <f>IF(A14&gt;0,1,0)</f>
        <v>1</v>
      </c>
      <c r="M14" s="50">
        <f>DATE(B14,A14,1)</f>
        <v>42522</v>
      </c>
      <c r="N14" s="51">
        <f>IF(A14&gt;0,M14,"")</f>
        <v>42522</v>
      </c>
      <c r="Q14" s="77"/>
      <c r="R14" s="83">
        <f t="shared" si="3"/>
        <v>0.997282955649102</v>
      </c>
      <c r="S14" s="84">
        <f t="shared" si="4"/>
        <v>996327.7433333338</v>
      </c>
      <c r="T14" s="77"/>
      <c r="U14" s="77"/>
      <c r="V14" s="77"/>
      <c r="W14" s="77"/>
    </row>
    <row r="15" spans="1:23" ht="12.75">
      <c r="A15" s="45">
        <v>7</v>
      </c>
      <c r="B15" s="45">
        <v>2016</v>
      </c>
      <c r="C15" s="47">
        <v>789087.0666666671</v>
      </c>
      <c r="D15" s="47">
        <v>23672.612000000012</v>
      </c>
      <c r="E15" s="47">
        <v>765414.4546666672</v>
      </c>
      <c r="F15" s="48">
        <v>-0.0027606286088697196</v>
      </c>
      <c r="G15" s="45">
        <v>8</v>
      </c>
      <c r="H15" s="45">
        <v>2016</v>
      </c>
      <c r="I15" s="47">
        <v>765414.4546666672</v>
      </c>
      <c r="J15" s="46"/>
      <c r="L15" s="49">
        <f>IF(A15&gt;0,1,0)</f>
        <v>1</v>
      </c>
      <c r="M15" s="50">
        <f>DATE(B15,A15,1)</f>
        <v>42552</v>
      </c>
      <c r="N15" s="51">
        <f>IF(A15&gt;0,M15,"")</f>
        <v>42552</v>
      </c>
      <c r="Q15" s="77"/>
      <c r="R15" s="83">
        <f t="shared" si="3"/>
        <v>0.9972393713911303</v>
      </c>
      <c r="S15" s="84">
        <f t="shared" si="4"/>
        <v>791271.4733333336</v>
      </c>
      <c r="T15" s="77"/>
      <c r="U15" s="77"/>
      <c r="V15" s="77"/>
      <c r="W15" s="77"/>
    </row>
    <row r="16" spans="1:23" ht="12.75">
      <c r="A16" s="45">
        <v>8</v>
      </c>
      <c r="B16" s="45">
        <v>2016</v>
      </c>
      <c r="C16" s="47">
        <v>935068.3900000004</v>
      </c>
      <c r="D16" s="47">
        <v>28052.05170000001</v>
      </c>
      <c r="E16" s="47">
        <v>907016.3383000004</v>
      </c>
      <c r="F16" s="48">
        <v>0.07809923307900624</v>
      </c>
      <c r="G16" s="45">
        <v>9</v>
      </c>
      <c r="H16" s="45">
        <v>2016</v>
      </c>
      <c r="I16" s="47">
        <v>907016.3383000004</v>
      </c>
      <c r="L16" s="49">
        <f t="shared" si="0"/>
        <v>1</v>
      </c>
      <c r="M16" s="50">
        <f t="shared" si="2"/>
        <v>42583</v>
      </c>
      <c r="N16" s="51">
        <f t="shared" si="1"/>
        <v>42583</v>
      </c>
      <c r="Q16" s="77"/>
      <c r="R16" s="83">
        <f t="shared" si="3"/>
        <v>1.0780992330790062</v>
      </c>
      <c r="S16" s="84">
        <f t="shared" si="4"/>
        <v>867330.54</v>
      </c>
      <c r="T16" s="77"/>
      <c r="U16" s="77"/>
      <c r="V16" s="77"/>
      <c r="W16" s="77"/>
    </row>
    <row r="17" spans="1:23" ht="12.75">
      <c r="A17" s="45">
        <v>9</v>
      </c>
      <c r="B17" s="45">
        <v>2016</v>
      </c>
      <c r="C17" s="47">
        <v>815053.9500000004</v>
      </c>
      <c r="D17" s="47">
        <v>24451.61850000001</v>
      </c>
      <c r="E17" s="47">
        <v>790602.3315000004</v>
      </c>
      <c r="F17" s="48">
        <v>0.009286655301407043</v>
      </c>
      <c r="G17" s="45">
        <v>10</v>
      </c>
      <c r="H17" s="45">
        <v>2016</v>
      </c>
      <c r="I17" s="47">
        <v>790602.3315000004</v>
      </c>
      <c r="L17" s="49">
        <f t="shared" si="0"/>
        <v>1</v>
      </c>
      <c r="M17" s="50">
        <f t="shared" si="2"/>
        <v>42614</v>
      </c>
      <c r="N17" s="51">
        <f t="shared" si="1"/>
        <v>42614</v>
      </c>
      <c r="Q17" s="77"/>
      <c r="R17" s="83">
        <f t="shared" si="3"/>
        <v>1.009286655301407</v>
      </c>
      <c r="S17" s="84">
        <f t="shared" si="4"/>
        <v>807554.47</v>
      </c>
      <c r="T17" s="77"/>
      <c r="U17" s="77"/>
      <c r="V17" s="77"/>
      <c r="W17" s="77"/>
    </row>
    <row r="18" spans="1:23" ht="12.75">
      <c r="A18" s="7"/>
      <c r="B18" s="7"/>
      <c r="C18" s="8">
        <f>SUM(C6:C17)</f>
        <v>13127423.556666672</v>
      </c>
      <c r="D18" s="8">
        <f>SUM(D6:D17)</f>
        <v>393822.7067000002</v>
      </c>
      <c r="E18" s="8">
        <f>SUM(E6:E17)</f>
        <v>12733600.849966673</v>
      </c>
      <c r="F18" s="9">
        <f>(C18/S18)-1</f>
        <v>0.02201189004073356</v>
      </c>
      <c r="G18" s="7"/>
      <c r="H18" s="7"/>
      <c r="I18" s="8">
        <f>SUM(I6:I17)</f>
        <v>12733600.849966673</v>
      </c>
      <c r="L18" s="49">
        <f>SUM(L6:L17)</f>
        <v>12</v>
      </c>
      <c r="M18" s="52"/>
      <c r="N18" s="52"/>
      <c r="Q18" s="85">
        <f>(F6+F7+F8+F9+F10+F11+F12+F13+F14+F15+F16+F17)/L18</f>
        <v>0.03125883910209157</v>
      </c>
      <c r="R18" s="77"/>
      <c r="S18" s="84">
        <f>SUM(S6:S17)</f>
        <v>12844687.703333335</v>
      </c>
      <c r="T18" s="77"/>
      <c r="U18" s="77"/>
      <c r="V18" s="77"/>
      <c r="W18" s="77"/>
    </row>
    <row r="19" spans="17:23" ht="12.75">
      <c r="Q19" s="77"/>
      <c r="R19" s="77"/>
      <c r="S19" s="77"/>
      <c r="T19" s="77"/>
      <c r="U19" s="77"/>
      <c r="V19" s="77"/>
      <c r="W19" s="77"/>
    </row>
    <row r="20" spans="2:23" ht="12.75">
      <c r="B20" t="s">
        <v>73</v>
      </c>
      <c r="Q20" s="77"/>
      <c r="R20" s="77"/>
      <c r="S20" s="77"/>
      <c r="T20" s="77"/>
      <c r="U20" s="77"/>
      <c r="V20" s="77"/>
      <c r="W20" s="77"/>
    </row>
    <row r="21" spans="17:23" ht="12.75">
      <c r="Q21" s="77"/>
      <c r="R21" s="77"/>
      <c r="S21" s="77"/>
      <c r="T21" s="77"/>
      <c r="U21" s="77"/>
      <c r="V21" s="77"/>
      <c r="W21" s="77"/>
    </row>
    <row r="22" spans="17:23" ht="12.75">
      <c r="Q22" s="77"/>
      <c r="R22" s="77"/>
      <c r="S22" s="77"/>
      <c r="T22" s="77"/>
      <c r="U22" s="77"/>
      <c r="V22" s="77"/>
      <c r="W22" s="77"/>
    </row>
    <row r="23" spans="17:23" ht="12.75">
      <c r="Q23" s="77"/>
      <c r="R23" s="77"/>
      <c r="S23" s="77"/>
      <c r="T23" s="77"/>
      <c r="U23" s="77"/>
      <c r="V23" s="77"/>
      <c r="W23" s="77"/>
    </row>
    <row r="24" spans="17:23" ht="12.75">
      <c r="Q24" s="77"/>
      <c r="R24" s="77"/>
      <c r="S24" s="77"/>
      <c r="T24" s="77"/>
      <c r="U24" s="77"/>
      <c r="V24" s="77"/>
      <c r="W24" s="77"/>
    </row>
    <row r="25" spans="17:23" ht="12.75">
      <c r="Q25" s="77"/>
      <c r="R25" s="77"/>
      <c r="S25" s="77"/>
      <c r="T25" s="77"/>
      <c r="U25" s="77"/>
      <c r="V25" s="77"/>
      <c r="W25" s="77"/>
    </row>
    <row r="26" spans="17:23" ht="12.75">
      <c r="Q26" s="77"/>
      <c r="R26" s="77"/>
      <c r="S26" s="77"/>
      <c r="T26" s="77"/>
      <c r="U26" s="77"/>
      <c r="V26" s="77"/>
      <c r="W26" s="77"/>
    </row>
    <row r="27" spans="17:23" ht="12.75">
      <c r="Q27" s="77"/>
      <c r="R27" s="77"/>
      <c r="S27" s="77"/>
      <c r="T27" s="77"/>
      <c r="U27" s="77"/>
      <c r="V27" s="77"/>
      <c r="W27" s="77"/>
    </row>
    <row r="28" spans="17:23" ht="12.75">
      <c r="Q28" s="77"/>
      <c r="R28" s="77"/>
      <c r="S28" s="77"/>
      <c r="T28" s="77"/>
      <c r="U28" s="77"/>
      <c r="V28" s="77"/>
      <c r="W28" s="77"/>
    </row>
    <row r="51" spans="1:12" ht="12.75">
      <c r="A51" s="3"/>
      <c r="B51" s="3"/>
      <c r="C51" s="3" t="s">
        <v>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 t="s">
        <v>67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 t="s">
        <v>65</v>
      </c>
      <c r="B53" s="3"/>
      <c r="C53" s="3"/>
      <c r="D53" s="3" t="str">
        <f>+B56</f>
        <v>2015-2016</v>
      </c>
      <c r="E53" s="3" t="s">
        <v>64</v>
      </c>
      <c r="F53" s="3"/>
      <c r="G53" s="3"/>
      <c r="H53" s="3"/>
      <c r="I53" s="3"/>
      <c r="J53" s="3"/>
      <c r="K53" s="3"/>
      <c r="L53" s="3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66</v>
      </c>
    </row>
    <row r="55" spans="1:8" ht="12.75">
      <c r="A55" t="s">
        <v>63</v>
      </c>
      <c r="B55" t="s">
        <v>15</v>
      </c>
      <c r="G55" t="s">
        <v>63</v>
      </c>
      <c r="H55" t="s">
        <v>15</v>
      </c>
    </row>
    <row r="56" spans="1:15" ht="12.75">
      <c r="A56" s="28">
        <v>1</v>
      </c>
      <c r="B56" t="str">
        <f>+C3&amp;"-"&amp;(C3+1)</f>
        <v>2015-2016</v>
      </c>
      <c r="C56" s="29">
        <f>+C6+C7+C8</f>
        <v>2763010.21</v>
      </c>
      <c r="D56" s="29">
        <f>+D6+D7+D8</f>
        <v>82890.30630000004</v>
      </c>
      <c r="E56" s="29">
        <f>+E6+E7+E8</f>
        <v>2680119.903700001</v>
      </c>
      <c r="F56" s="30">
        <f>(F6+F7+F8)/O56</f>
        <v>0.09643713068444493</v>
      </c>
      <c r="G56" s="28">
        <v>1</v>
      </c>
      <c r="H56" s="44" t="str">
        <f>+$B$56</f>
        <v>2015-2016</v>
      </c>
      <c r="I56" s="29">
        <f>+I6+I7+I8</f>
        <v>2680119.903700001</v>
      </c>
      <c r="J56" s="29"/>
      <c r="K56" s="29"/>
      <c r="L56" s="32">
        <f>+L6+L7+L8</f>
        <v>3</v>
      </c>
      <c r="O56" s="31">
        <f>+L6+L7+L8</f>
        <v>3</v>
      </c>
    </row>
    <row r="57" spans="1:15" ht="12.75">
      <c r="A57" s="28">
        <v>2</v>
      </c>
      <c r="B57" s="44" t="str">
        <f>+$B$56</f>
        <v>2015-2016</v>
      </c>
      <c r="C57" s="29">
        <f>+C9+C10+C11</f>
        <v>4166321.7633333346</v>
      </c>
      <c r="D57" s="29">
        <f>+D9+D10+D11</f>
        <v>124989.65290000006</v>
      </c>
      <c r="E57" s="29">
        <f>+E9+E10+E11</f>
        <v>4041332.110433335</v>
      </c>
      <c r="F57" s="30">
        <f>(F7+F8+F9)/O57</f>
        <v>0.0749754321015766</v>
      </c>
      <c r="G57" s="28">
        <v>2</v>
      </c>
      <c r="H57" s="44" t="str">
        <f>+$B$56</f>
        <v>2015-2016</v>
      </c>
      <c r="I57" s="29">
        <f>+I9+I10+I11</f>
        <v>4041332.110433335</v>
      </c>
      <c r="J57" s="29"/>
      <c r="K57" s="29"/>
      <c r="L57" s="32">
        <f>+L9+L10+L11</f>
        <v>3</v>
      </c>
      <c r="O57" s="31">
        <v>3</v>
      </c>
    </row>
    <row r="58" spans="1:15" ht="12.75">
      <c r="A58" s="28">
        <v>3</v>
      </c>
      <c r="B58" s="44" t="str">
        <f>+$B$56</f>
        <v>2015-2016</v>
      </c>
      <c r="C58" s="29">
        <f>+C12+C13+C14</f>
        <v>3658882.1766666677</v>
      </c>
      <c r="D58" s="29">
        <f>+D12+D13+D14</f>
        <v>109766.46530000004</v>
      </c>
      <c r="E58" s="29">
        <f>+E12+E13+E14</f>
        <v>3549115.7113666683</v>
      </c>
      <c r="F58" s="30">
        <f>+F12+F13+F14/O58</f>
        <v>-0.060848329491591246</v>
      </c>
      <c r="G58" s="28">
        <v>3</v>
      </c>
      <c r="H58" s="44" t="str">
        <f>+$B$56</f>
        <v>2015-2016</v>
      </c>
      <c r="I58" s="29">
        <f>+I12+I13+I14</f>
        <v>3549115.7113666683</v>
      </c>
      <c r="J58" s="29"/>
      <c r="K58" s="29"/>
      <c r="L58" s="32">
        <f>+L12+L13+L14</f>
        <v>3</v>
      </c>
      <c r="O58" s="31">
        <v>1</v>
      </c>
    </row>
    <row r="59" spans="1:15" ht="12.75">
      <c r="A59" s="28">
        <v>4</v>
      </c>
      <c r="B59" s="44" t="str">
        <f>+$B$56</f>
        <v>2015-2016</v>
      </c>
      <c r="C59" s="29">
        <f>+C15+C16+C17</f>
        <v>2539209.406666668</v>
      </c>
      <c r="D59" s="29">
        <f>+D15+D16+D17</f>
        <v>76176.28220000003</v>
      </c>
      <c r="E59" s="29">
        <f>+E15+E16+E17</f>
        <v>2463033.124466668</v>
      </c>
      <c r="F59" s="30">
        <v>0</v>
      </c>
      <c r="G59" s="28">
        <v>4</v>
      </c>
      <c r="H59" s="44" t="str">
        <f>+$B$56</f>
        <v>2015-2016</v>
      </c>
      <c r="I59" s="29">
        <f>+I15+I16+I17</f>
        <v>2463033.124466668</v>
      </c>
      <c r="J59" s="29"/>
      <c r="K59" s="29"/>
      <c r="L59" s="32">
        <f>+L15+L16+L17</f>
        <v>3</v>
      </c>
      <c r="O59" s="31">
        <v>0</v>
      </c>
    </row>
    <row r="60" spans="1:12" ht="12.75">
      <c r="A60" s="4"/>
      <c r="B60" s="4"/>
      <c r="C60" s="5">
        <f>SUM(C48:C59)</f>
        <v>13127423.55666667</v>
      </c>
      <c r="D60" s="5">
        <f>SUM(D48:D59)</f>
        <v>393822.70670000016</v>
      </c>
      <c r="E60" s="5">
        <f>SUM(E48:E59)</f>
        <v>12733600.849966671</v>
      </c>
      <c r="F60" s="6">
        <f>+F18</f>
        <v>0.02201189004073356</v>
      </c>
      <c r="G60" s="4"/>
      <c r="H60" s="4"/>
      <c r="I60" s="5">
        <f>SUM(I48:I59)</f>
        <v>12733600.849966671</v>
      </c>
      <c r="J60" s="5"/>
      <c r="K60" s="5"/>
      <c r="L60" s="33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9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14.00390625" style="0" customWidth="1"/>
    <col min="9" max="9" width="16.140625" style="0" customWidth="1"/>
    <col min="13" max="13" width="9.28125" style="0" bestFit="1" customWidth="1"/>
    <col min="14" max="14" width="12.140625" style="0" customWidth="1"/>
    <col min="15" max="15" width="9.421875" style="0" bestFit="1" customWidth="1"/>
    <col min="18" max="18" width="9.28125" style="0" bestFit="1" customWidth="1"/>
    <col min="19" max="19" width="10.28125" style="0" bestFit="1" customWidth="1"/>
  </cols>
  <sheetData>
    <row r="1" spans="1:9" ht="12.75">
      <c r="A1" s="15"/>
      <c r="B1" s="12"/>
      <c r="C1" s="12" t="s">
        <v>40</v>
      </c>
      <c r="D1" s="12"/>
      <c r="E1" s="12"/>
      <c r="F1" s="12"/>
      <c r="G1" s="12"/>
      <c r="H1" s="12"/>
      <c r="I1" s="12"/>
    </row>
    <row r="2" spans="1:16" ht="12.75">
      <c r="A2" s="12" t="s">
        <v>53</v>
      </c>
      <c r="B2" s="12"/>
      <c r="C2" s="12" t="s">
        <v>41</v>
      </c>
      <c r="D2" s="12"/>
      <c r="E2" s="12"/>
      <c r="F2" s="12"/>
      <c r="G2" s="12"/>
      <c r="H2" s="12"/>
      <c r="I2" s="12"/>
      <c r="N2">
        <f>+B6-1</f>
        <v>2014</v>
      </c>
      <c r="O2" t="s">
        <v>3</v>
      </c>
      <c r="P2">
        <f>+B6</f>
        <v>2015</v>
      </c>
    </row>
    <row r="3" spans="1:9" ht="12.75">
      <c r="A3" s="12"/>
      <c r="B3" s="12"/>
      <c r="C3" s="12" t="s">
        <v>26</v>
      </c>
      <c r="D3" s="12">
        <f>+B6</f>
        <v>2015</v>
      </c>
      <c r="E3" s="12" t="s">
        <v>3</v>
      </c>
      <c r="F3" s="12">
        <f>+B6+1</f>
        <v>2016</v>
      </c>
      <c r="G3" s="12"/>
      <c r="H3" s="12"/>
      <c r="I3" s="12"/>
    </row>
    <row r="4" spans="1:23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42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3" ht="12.75">
      <c r="A6" s="45">
        <v>10</v>
      </c>
      <c r="B6" s="45">
        <v>2015</v>
      </c>
      <c r="C6" s="47">
        <v>535302.81</v>
      </c>
      <c r="D6" s="47">
        <v>16059.0843</v>
      </c>
      <c r="E6" s="47">
        <v>519243.72570000007</v>
      </c>
      <c r="F6" s="48">
        <v>0.15746200899018725</v>
      </c>
      <c r="G6" s="45">
        <v>11</v>
      </c>
      <c r="H6" s="45">
        <v>2015</v>
      </c>
      <c r="I6" s="47">
        <v>519243.72570000007</v>
      </c>
      <c r="J6" s="46"/>
      <c r="L6" s="77"/>
      <c r="M6" s="77">
        <f aca="true" t="shared" si="0" ref="M6:M17">IF(A6&gt;0,1,0)</f>
        <v>1</v>
      </c>
      <c r="N6" s="86">
        <f>DATE(B6,A6,1)</f>
        <v>42278</v>
      </c>
      <c r="O6" s="80">
        <f aca="true" t="shared" si="1" ref="O6:O17">IF(B6&gt;0,N6,"")</f>
        <v>42278</v>
      </c>
      <c r="P6" s="77"/>
      <c r="Q6" s="77"/>
      <c r="R6" s="83">
        <f>IF(M6=1,(F6+1),0)</f>
        <v>1.1574620089901873</v>
      </c>
      <c r="S6" s="84">
        <f>IF(M6=1,C6/R6,0)</f>
        <v>462479.81</v>
      </c>
      <c r="T6" s="77"/>
      <c r="U6" s="77"/>
      <c r="V6" s="77"/>
      <c r="W6" s="77"/>
    </row>
    <row r="7" spans="1:23" ht="12.75">
      <c r="A7" s="45">
        <v>11</v>
      </c>
      <c r="B7" s="45">
        <v>2015</v>
      </c>
      <c r="C7" s="47">
        <v>652914.21</v>
      </c>
      <c r="D7" s="47">
        <v>19587.4263</v>
      </c>
      <c r="E7" s="47">
        <v>633326.7836999999</v>
      </c>
      <c r="F7" s="48">
        <v>0.15121938085810505</v>
      </c>
      <c r="G7" s="45">
        <v>12</v>
      </c>
      <c r="H7" s="45">
        <v>2015</v>
      </c>
      <c r="I7" s="47">
        <v>633326.7836999999</v>
      </c>
      <c r="L7" s="77"/>
      <c r="M7" s="77">
        <f t="shared" si="0"/>
        <v>1</v>
      </c>
      <c r="N7" s="86">
        <f aca="true" t="shared" si="2" ref="N7:N17">DATE(B7,A7,1)</f>
        <v>42309</v>
      </c>
      <c r="O7" s="80">
        <f t="shared" si="1"/>
        <v>42309</v>
      </c>
      <c r="P7" s="77"/>
      <c r="Q7" s="77"/>
      <c r="R7" s="83">
        <f aca="true" t="shared" si="3" ref="R7:R17">IF(M7=1,(F7+1),0)</f>
        <v>1.151219380858105</v>
      </c>
      <c r="S7" s="84">
        <f aca="true" t="shared" si="4" ref="S7:S17">IF(M7=1,C7/R7,0)</f>
        <v>567150.12</v>
      </c>
      <c r="T7" s="77"/>
      <c r="U7" s="77"/>
      <c r="V7" s="77"/>
      <c r="W7" s="77"/>
    </row>
    <row r="8" spans="1:23" ht="12.75">
      <c r="A8" s="45">
        <v>12</v>
      </c>
      <c r="B8" s="45">
        <v>2015</v>
      </c>
      <c r="C8" s="47">
        <v>698239.97</v>
      </c>
      <c r="D8" s="47">
        <v>20947.199099999998</v>
      </c>
      <c r="E8" s="47">
        <v>677292.7709</v>
      </c>
      <c r="F8" s="48">
        <v>0.026432580521503546</v>
      </c>
      <c r="G8" s="45">
        <v>1</v>
      </c>
      <c r="H8" s="45">
        <v>2016</v>
      </c>
      <c r="I8" s="47">
        <v>677292.7709</v>
      </c>
      <c r="L8" s="77"/>
      <c r="M8" s="77">
        <f t="shared" si="0"/>
        <v>1</v>
      </c>
      <c r="N8" s="86">
        <f t="shared" si="2"/>
        <v>42339</v>
      </c>
      <c r="O8" s="80">
        <f t="shared" si="1"/>
        <v>42339</v>
      </c>
      <c r="P8" s="77"/>
      <c r="Q8" s="77"/>
      <c r="R8" s="83">
        <f t="shared" si="3"/>
        <v>1.0264325805215035</v>
      </c>
      <c r="S8" s="84">
        <f t="shared" si="4"/>
        <v>680258.9699999999</v>
      </c>
      <c r="T8" s="77"/>
      <c r="U8" s="77"/>
      <c r="V8" s="77"/>
      <c r="W8" s="77"/>
    </row>
    <row r="9" spans="1:23" ht="12.75">
      <c r="A9" s="45">
        <v>1</v>
      </c>
      <c r="B9" s="45">
        <v>2016</v>
      </c>
      <c r="C9" s="47">
        <v>715199.95</v>
      </c>
      <c r="D9" s="47">
        <v>21455.998499999998</v>
      </c>
      <c r="E9" s="47">
        <v>693743.9515</v>
      </c>
      <c r="F9" s="48">
        <v>0.02226487916855424</v>
      </c>
      <c r="G9" s="45">
        <v>2</v>
      </c>
      <c r="H9" s="45">
        <v>2016</v>
      </c>
      <c r="I9" s="47">
        <v>693743.9515</v>
      </c>
      <c r="L9" s="77"/>
      <c r="M9" s="77">
        <f t="shared" si="0"/>
        <v>1</v>
      </c>
      <c r="N9" s="86">
        <f t="shared" si="2"/>
        <v>42370</v>
      </c>
      <c r="O9" s="80">
        <f t="shared" si="1"/>
        <v>42370</v>
      </c>
      <c r="P9" s="77"/>
      <c r="Q9" s="77"/>
      <c r="R9" s="83">
        <f t="shared" si="3"/>
        <v>1.0222648791685542</v>
      </c>
      <c r="S9" s="84">
        <f t="shared" si="4"/>
        <v>699622.93</v>
      </c>
      <c r="T9" s="77"/>
      <c r="U9" s="77"/>
      <c r="V9" s="77"/>
      <c r="W9" s="77"/>
    </row>
    <row r="10" spans="1:23" ht="12.75">
      <c r="A10" s="45">
        <v>2</v>
      </c>
      <c r="B10" s="45">
        <v>2016</v>
      </c>
      <c r="C10" s="47">
        <v>828074.59</v>
      </c>
      <c r="D10" s="47">
        <v>24842.237699999998</v>
      </c>
      <c r="E10" s="47">
        <v>803232.3522999999</v>
      </c>
      <c r="F10" s="48">
        <v>0.034440634764542954</v>
      </c>
      <c r="G10" s="45">
        <v>3</v>
      </c>
      <c r="H10" s="45">
        <v>2016</v>
      </c>
      <c r="I10" s="47">
        <v>803232.3522999999</v>
      </c>
      <c r="L10" s="77"/>
      <c r="M10" s="77">
        <f t="shared" si="0"/>
        <v>1</v>
      </c>
      <c r="N10" s="86">
        <f t="shared" si="2"/>
        <v>42401</v>
      </c>
      <c r="O10" s="80">
        <f t="shared" si="1"/>
        <v>42401</v>
      </c>
      <c r="P10" s="77"/>
      <c r="Q10" s="77"/>
      <c r="R10" s="83">
        <f t="shared" si="3"/>
        <v>1.034440634764543</v>
      </c>
      <c r="S10" s="84">
        <f t="shared" si="4"/>
        <v>800504.7</v>
      </c>
      <c r="T10" s="77"/>
      <c r="U10" s="77"/>
      <c r="V10" s="77"/>
      <c r="W10" s="77"/>
    </row>
    <row r="11" spans="1:23" ht="12.75">
      <c r="A11" s="45">
        <v>3</v>
      </c>
      <c r="B11" s="45">
        <v>2016</v>
      </c>
      <c r="C11" s="47">
        <v>826157.79</v>
      </c>
      <c r="D11" s="47">
        <v>24784.7337</v>
      </c>
      <c r="E11" s="47">
        <v>801373.0563</v>
      </c>
      <c r="F11" s="48">
        <v>-0.00463282634925255</v>
      </c>
      <c r="G11" s="45">
        <v>4</v>
      </c>
      <c r="H11" s="45">
        <v>2016</v>
      </c>
      <c r="I11" s="47">
        <v>801373.0563</v>
      </c>
      <c r="L11" s="77"/>
      <c r="M11" s="77">
        <f t="shared" si="0"/>
        <v>1</v>
      </c>
      <c r="N11" s="86">
        <f t="shared" si="2"/>
        <v>42430</v>
      </c>
      <c r="O11" s="80">
        <f t="shared" si="1"/>
        <v>42430</v>
      </c>
      <c r="P11" s="77"/>
      <c r="Q11" s="77"/>
      <c r="R11" s="83">
        <f t="shared" si="3"/>
        <v>0.9953671736507474</v>
      </c>
      <c r="S11" s="84">
        <f t="shared" si="4"/>
        <v>830003.05</v>
      </c>
      <c r="T11" s="77"/>
      <c r="U11" s="77"/>
      <c r="V11" s="77"/>
      <c r="W11" s="77"/>
    </row>
    <row r="12" spans="1:23" ht="12.75">
      <c r="A12" s="45">
        <v>4</v>
      </c>
      <c r="B12" s="45">
        <v>2016</v>
      </c>
      <c r="C12" s="47">
        <v>810636.76</v>
      </c>
      <c r="D12" s="47">
        <v>24319.1028</v>
      </c>
      <c r="E12" s="47">
        <v>786317.6572</v>
      </c>
      <c r="F12" s="48">
        <v>0.020556597859813897</v>
      </c>
      <c r="G12" s="45">
        <v>5</v>
      </c>
      <c r="H12" s="45">
        <v>2016</v>
      </c>
      <c r="I12" s="47">
        <v>786317.6572</v>
      </c>
      <c r="L12" s="77"/>
      <c r="M12" s="77">
        <f t="shared" si="0"/>
        <v>1</v>
      </c>
      <c r="N12" s="86">
        <f t="shared" si="2"/>
        <v>42461</v>
      </c>
      <c r="O12" s="80">
        <f t="shared" si="1"/>
        <v>42461</v>
      </c>
      <c r="P12" s="77"/>
      <c r="Q12" s="77"/>
      <c r="R12" s="83">
        <f t="shared" si="3"/>
        <v>1.020556597859814</v>
      </c>
      <c r="S12" s="84">
        <f t="shared" si="4"/>
        <v>794308.48</v>
      </c>
      <c r="T12" s="77"/>
      <c r="U12" s="77"/>
      <c r="V12" s="77"/>
      <c r="W12" s="77"/>
    </row>
    <row r="13" spans="1:23" ht="12.75">
      <c r="A13" s="45">
        <v>5</v>
      </c>
      <c r="B13" s="45">
        <v>2016</v>
      </c>
      <c r="C13" s="47">
        <v>782136.79</v>
      </c>
      <c r="D13" s="47">
        <v>23464.1037</v>
      </c>
      <c r="E13" s="47">
        <v>758672.6863000001</v>
      </c>
      <c r="F13" s="48">
        <v>0.12666869777284173</v>
      </c>
      <c r="G13" s="45">
        <v>6</v>
      </c>
      <c r="H13" s="45">
        <v>2016</v>
      </c>
      <c r="I13" s="47">
        <v>758672.6863000001</v>
      </c>
      <c r="L13" s="77"/>
      <c r="M13" s="77">
        <f t="shared" si="0"/>
        <v>1</v>
      </c>
      <c r="N13" s="86">
        <f t="shared" si="2"/>
        <v>42491</v>
      </c>
      <c r="O13" s="80">
        <f t="shared" si="1"/>
        <v>42491</v>
      </c>
      <c r="P13" s="77"/>
      <c r="Q13" s="77"/>
      <c r="R13" s="83">
        <f t="shared" si="3"/>
        <v>1.1266686977728417</v>
      </c>
      <c r="S13" s="84">
        <f t="shared" si="4"/>
        <v>694203</v>
      </c>
      <c r="T13" s="77"/>
      <c r="U13" s="77"/>
      <c r="V13" s="77"/>
      <c r="W13" s="77"/>
    </row>
    <row r="14" spans="1:23" ht="12.75">
      <c r="A14" s="45">
        <v>6</v>
      </c>
      <c r="B14" s="45">
        <v>2016</v>
      </c>
      <c r="C14" s="47">
        <v>697186.86</v>
      </c>
      <c r="D14" s="47">
        <v>20915.605799999998</v>
      </c>
      <c r="E14" s="47">
        <v>676271.2542</v>
      </c>
      <c r="F14" s="48">
        <v>-0.03739088912792876</v>
      </c>
      <c r="G14" s="45">
        <v>7</v>
      </c>
      <c r="H14" s="45">
        <v>2016</v>
      </c>
      <c r="I14" s="47">
        <v>676271.2542</v>
      </c>
      <c r="L14" s="77"/>
      <c r="M14" s="77">
        <f t="shared" si="0"/>
        <v>1</v>
      </c>
      <c r="N14" s="86">
        <f t="shared" si="2"/>
        <v>42522</v>
      </c>
      <c r="O14" s="80">
        <f t="shared" si="1"/>
        <v>42522</v>
      </c>
      <c r="P14" s="77"/>
      <c r="Q14" s="77"/>
      <c r="R14" s="83">
        <f t="shared" si="3"/>
        <v>0.9626091108720712</v>
      </c>
      <c r="S14" s="84">
        <f t="shared" si="4"/>
        <v>724267.88</v>
      </c>
      <c r="T14" s="77"/>
      <c r="U14" s="77"/>
      <c r="V14" s="77"/>
      <c r="W14" s="77"/>
    </row>
    <row r="15" spans="1:23" ht="12.75">
      <c r="A15" s="45">
        <v>7</v>
      </c>
      <c r="B15" s="45">
        <v>2016</v>
      </c>
      <c r="C15" s="47">
        <v>566413.38</v>
      </c>
      <c r="D15" s="47">
        <v>16992.4014</v>
      </c>
      <c r="E15" s="47">
        <v>549420.9786</v>
      </c>
      <c r="F15" s="48">
        <v>0.022081749450806543</v>
      </c>
      <c r="G15" s="45">
        <v>8</v>
      </c>
      <c r="H15" s="45">
        <v>2016</v>
      </c>
      <c r="I15" s="47">
        <v>549420.9786</v>
      </c>
      <c r="L15" s="77"/>
      <c r="M15" s="77">
        <f t="shared" si="0"/>
        <v>1</v>
      </c>
      <c r="N15" s="86">
        <f t="shared" si="2"/>
        <v>42552</v>
      </c>
      <c r="O15" s="80">
        <f t="shared" si="1"/>
        <v>42552</v>
      </c>
      <c r="P15" s="77"/>
      <c r="Q15" s="77"/>
      <c r="R15" s="83">
        <f t="shared" si="3"/>
        <v>1.0220817494508065</v>
      </c>
      <c r="S15" s="84">
        <f t="shared" si="4"/>
        <v>554176.2</v>
      </c>
      <c r="T15" s="77"/>
      <c r="U15" s="77"/>
      <c r="V15" s="77"/>
      <c r="W15" s="77"/>
    </row>
    <row r="16" spans="1:23" ht="12.75">
      <c r="A16" s="45">
        <v>8</v>
      </c>
      <c r="B16" s="45">
        <v>2016</v>
      </c>
      <c r="C16" s="47">
        <v>561323.64</v>
      </c>
      <c r="D16" s="47">
        <v>16839.7092</v>
      </c>
      <c r="E16" s="47">
        <v>544483.9308</v>
      </c>
      <c r="F16" s="48">
        <v>0.05581411953569604</v>
      </c>
      <c r="G16" s="45">
        <v>9</v>
      </c>
      <c r="H16" s="45">
        <v>2016</v>
      </c>
      <c r="I16" s="47">
        <v>544483.9308</v>
      </c>
      <c r="L16" s="77"/>
      <c r="M16" s="77">
        <f t="shared" si="0"/>
        <v>1</v>
      </c>
      <c r="N16" s="86">
        <f t="shared" si="2"/>
        <v>42583</v>
      </c>
      <c r="O16" s="80">
        <f t="shared" si="1"/>
        <v>42583</v>
      </c>
      <c r="P16" s="77"/>
      <c r="Q16" s="77"/>
      <c r="R16" s="83">
        <f t="shared" si="3"/>
        <v>1.055814119535696</v>
      </c>
      <c r="S16" s="84">
        <f t="shared" si="4"/>
        <v>531650.06</v>
      </c>
      <c r="T16" s="77"/>
      <c r="U16" s="77"/>
      <c r="V16" s="77"/>
      <c r="W16" s="77"/>
    </row>
    <row r="17" spans="1:23" s="46" customFormat="1" ht="12.75">
      <c r="A17" s="45">
        <v>9</v>
      </c>
      <c r="B17" s="45">
        <v>2016</v>
      </c>
      <c r="C17" s="47">
        <v>478522.63</v>
      </c>
      <c r="D17" s="47">
        <v>14355.678899999999</v>
      </c>
      <c r="E17" s="47">
        <v>464166.9511</v>
      </c>
      <c r="F17" s="48">
        <v>0.005287245722410905</v>
      </c>
      <c r="G17" s="45">
        <v>10</v>
      </c>
      <c r="H17" s="45">
        <v>2016</v>
      </c>
      <c r="I17" s="47">
        <v>464166.9511</v>
      </c>
      <c r="L17" s="77"/>
      <c r="M17" s="77">
        <f t="shared" si="0"/>
        <v>1</v>
      </c>
      <c r="N17" s="86">
        <f t="shared" si="2"/>
        <v>42614</v>
      </c>
      <c r="O17" s="80">
        <f t="shared" si="1"/>
        <v>42614</v>
      </c>
      <c r="P17" s="77"/>
      <c r="Q17" s="77"/>
      <c r="R17" s="83">
        <f t="shared" si="3"/>
        <v>1.005287245722411</v>
      </c>
      <c r="S17" s="84">
        <f t="shared" si="4"/>
        <v>476005.87</v>
      </c>
      <c r="T17" s="77"/>
      <c r="U17" s="77"/>
      <c r="V17" s="77"/>
      <c r="W17" s="77"/>
    </row>
    <row r="18" spans="1:23" ht="12.75">
      <c r="A18" s="16"/>
      <c r="B18" s="16"/>
      <c r="C18" s="17">
        <f>SUM(C6:C17)</f>
        <v>8152109.38</v>
      </c>
      <c r="D18" s="17">
        <f>SUM(D6:D17)</f>
        <v>244563.2814</v>
      </c>
      <c r="E18" s="17">
        <f>SUM(E6:E17)</f>
        <v>7907546.098600001</v>
      </c>
      <c r="F18" s="18">
        <f>(C18/S18)-1</f>
        <v>0.043185443685954894</v>
      </c>
      <c r="G18" s="16"/>
      <c r="H18" s="16"/>
      <c r="I18" s="17">
        <f>SUM(I6:I17)</f>
        <v>7907546.098600001</v>
      </c>
      <c r="L18" s="77"/>
      <c r="M18" s="77">
        <f>SUM(M6:M17)</f>
        <v>12</v>
      </c>
      <c r="N18" s="77"/>
      <c r="O18" s="85">
        <f>(F6+F7+F8+F9+F10+F11+F12+F13+F14+F15+F16+F17)/M18</f>
        <v>0.04835034826394007</v>
      </c>
      <c r="P18" s="77"/>
      <c r="Q18" s="77"/>
      <c r="R18" s="77"/>
      <c r="S18" s="84">
        <f>SUM(S6:S17)</f>
        <v>7814631.070000001</v>
      </c>
      <c r="T18" s="77"/>
      <c r="U18" s="77"/>
      <c r="V18" s="77"/>
      <c r="W18" s="77"/>
    </row>
    <row r="19" spans="12:23" ht="12.75"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3:23" ht="12.75">
      <c r="C20" s="26"/>
      <c r="D20" s="26"/>
      <c r="E20" s="26"/>
      <c r="I20" s="26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2" spans="1:8" ht="12.75">
      <c r="A22" s="13"/>
      <c r="B22" s="13"/>
      <c r="C22" s="13" t="s">
        <v>30</v>
      </c>
      <c r="D22" s="13"/>
      <c r="E22" s="13"/>
      <c r="F22" s="13"/>
      <c r="G22" s="13"/>
      <c r="H22" s="13"/>
    </row>
    <row r="23" spans="1:8" ht="12.75">
      <c r="A23" s="13"/>
      <c r="B23" s="13"/>
      <c r="C23" s="13" t="s">
        <v>43</v>
      </c>
      <c r="D23" s="13"/>
      <c r="E23" s="13"/>
      <c r="F23" s="13"/>
      <c r="G23" s="13"/>
      <c r="H23" s="13"/>
    </row>
    <row r="24" spans="1:8" ht="12.75">
      <c r="A24" s="13"/>
      <c r="B24" s="13"/>
      <c r="C24" s="13" t="s">
        <v>32</v>
      </c>
      <c r="D24" s="13">
        <f>+B27</f>
        <v>2015</v>
      </c>
      <c r="E24" s="13" t="s">
        <v>3</v>
      </c>
      <c r="F24" s="13">
        <f>+B27+1</f>
        <v>2016</v>
      </c>
      <c r="G24" s="13"/>
      <c r="H24" s="13" t="s">
        <v>39</v>
      </c>
    </row>
    <row r="25" spans="1:8" ht="12.75">
      <c r="A25" s="13" t="s">
        <v>33</v>
      </c>
      <c r="B25" s="13" t="s">
        <v>14</v>
      </c>
      <c r="C25" s="13" t="s">
        <v>34</v>
      </c>
      <c r="D25" s="13" t="s">
        <v>35</v>
      </c>
      <c r="E25" s="13" t="s">
        <v>44</v>
      </c>
      <c r="F25" s="13" t="s">
        <v>36</v>
      </c>
      <c r="G25" s="13" t="s">
        <v>87</v>
      </c>
      <c r="H25" s="13" t="s">
        <v>88</v>
      </c>
    </row>
    <row r="26" spans="1:7" ht="12.75">
      <c r="A26" t="s">
        <v>14</v>
      </c>
      <c r="B26" t="s">
        <v>15</v>
      </c>
      <c r="G26" s="47"/>
    </row>
    <row r="27" spans="1:8" ht="12.75">
      <c r="A27" s="45">
        <v>11</v>
      </c>
      <c r="B27" s="45">
        <v>2015</v>
      </c>
      <c r="C27" s="47">
        <v>16200.404241840002</v>
      </c>
      <c r="D27" s="47">
        <v>503043.32145816006</v>
      </c>
      <c r="E27" s="47">
        <v>8333.333333333334</v>
      </c>
      <c r="F27" s="47">
        <v>494709.98812482675</v>
      </c>
      <c r="G27" s="47">
        <v>519243.72570000007</v>
      </c>
      <c r="H27" s="26">
        <v>503043.32145816006</v>
      </c>
    </row>
    <row r="28" spans="1:8" ht="12.75">
      <c r="A28" s="45">
        <v>12</v>
      </c>
      <c r="B28" s="45">
        <v>2015</v>
      </c>
      <c r="C28" s="47">
        <v>19759.795651439996</v>
      </c>
      <c r="D28" s="47">
        <v>613566.9880485599</v>
      </c>
      <c r="E28" s="47">
        <v>8333.333333333334</v>
      </c>
      <c r="F28" s="47">
        <v>605233.6547152265</v>
      </c>
      <c r="G28" s="47">
        <v>633326.7836999999</v>
      </c>
      <c r="H28" s="26">
        <v>613566.9880485599</v>
      </c>
    </row>
    <row r="29" spans="1:8" ht="12.75">
      <c r="A29" s="45">
        <v>1</v>
      </c>
      <c r="B29" s="45">
        <v>2016</v>
      </c>
      <c r="C29" s="47">
        <v>21131.53445208</v>
      </c>
      <c r="D29" s="47">
        <v>656161.23644792</v>
      </c>
      <c r="E29" s="47">
        <v>8333.333333333334</v>
      </c>
      <c r="F29" s="47">
        <v>647827.9031145866</v>
      </c>
      <c r="G29" s="47">
        <v>677292.7709</v>
      </c>
      <c r="H29" s="26">
        <v>656161.23644792</v>
      </c>
    </row>
    <row r="30" spans="1:8" ht="12.75">
      <c r="A30" s="45">
        <v>2</v>
      </c>
      <c r="B30" s="45">
        <v>2016</v>
      </c>
      <c r="C30" s="47">
        <v>21644.8112868</v>
      </c>
      <c r="D30" s="47">
        <v>672099.1402132</v>
      </c>
      <c r="E30" s="47">
        <v>8333.333333333334</v>
      </c>
      <c r="F30" s="47">
        <v>663765.8068798666</v>
      </c>
      <c r="G30" s="47">
        <v>693743.9515</v>
      </c>
      <c r="H30" s="26">
        <v>672099.1402132</v>
      </c>
    </row>
    <row r="31" spans="1:8" ht="12.75">
      <c r="A31" s="45">
        <v>3</v>
      </c>
      <c r="B31" s="45">
        <v>2016</v>
      </c>
      <c r="C31" s="47">
        <v>25060.849391759995</v>
      </c>
      <c r="D31" s="47">
        <v>778171.50290824</v>
      </c>
      <c r="E31" s="47">
        <v>8333.333333333334</v>
      </c>
      <c r="F31" s="47">
        <v>769838.1695749066</v>
      </c>
      <c r="G31" s="47">
        <v>803232.3522999999</v>
      </c>
      <c r="H31" s="26">
        <v>778171.50290824</v>
      </c>
    </row>
    <row r="32" spans="1:8" ht="12.75">
      <c r="A32" s="45">
        <v>4</v>
      </c>
      <c r="B32" s="45">
        <v>2016</v>
      </c>
      <c r="C32" s="47">
        <v>25002.83935656</v>
      </c>
      <c r="D32" s="47">
        <v>776370.21694344</v>
      </c>
      <c r="E32" s="47">
        <v>8333.333333333334</v>
      </c>
      <c r="F32" s="47">
        <v>768036.8836101067</v>
      </c>
      <c r="G32" s="47">
        <v>801373.0563</v>
      </c>
      <c r="H32" s="26">
        <v>776370.21694344</v>
      </c>
    </row>
    <row r="33" spans="1:8" ht="12.75">
      <c r="A33" s="45">
        <v>5</v>
      </c>
      <c r="B33" s="45">
        <v>2016</v>
      </c>
      <c r="C33" s="47">
        <v>24533.110904639998</v>
      </c>
      <c r="D33" s="47">
        <v>761784.54629536</v>
      </c>
      <c r="E33" s="47">
        <v>8333.333333333334</v>
      </c>
      <c r="F33" s="47">
        <v>753451.2129620266</v>
      </c>
      <c r="G33" s="47">
        <v>786317.6572</v>
      </c>
      <c r="H33" s="26">
        <v>761784.54629536</v>
      </c>
    </row>
    <row r="34" spans="1:8" ht="12.75">
      <c r="A34" s="45">
        <v>6</v>
      </c>
      <c r="B34" s="45">
        <v>2016</v>
      </c>
      <c r="C34" s="47">
        <v>23670.58781256</v>
      </c>
      <c r="D34" s="47">
        <v>735002.09848744</v>
      </c>
      <c r="E34" s="47">
        <v>8333.333333333334</v>
      </c>
      <c r="F34" s="47">
        <v>726668.7651541067</v>
      </c>
      <c r="G34" s="47">
        <v>758672.6863000001</v>
      </c>
      <c r="H34" s="26">
        <v>735002.09848744</v>
      </c>
    </row>
    <row r="35" spans="1:8" ht="12.75">
      <c r="A35" s="45">
        <v>7</v>
      </c>
      <c r="B35" s="45">
        <v>2016</v>
      </c>
      <c r="C35" s="47">
        <v>21099.663131039997</v>
      </c>
      <c r="D35" s="47">
        <v>655171.59106896</v>
      </c>
      <c r="E35" s="47">
        <v>8333.333333333334</v>
      </c>
      <c r="F35" s="47">
        <v>646838.2577356267</v>
      </c>
      <c r="G35" s="47">
        <v>676271.2542000001</v>
      </c>
      <c r="H35" s="26">
        <v>655171.59106896</v>
      </c>
    </row>
    <row r="36" spans="1:8" ht="12.75">
      <c r="A36" s="45">
        <v>8</v>
      </c>
      <c r="B36" s="45">
        <v>2016</v>
      </c>
      <c r="C36" s="47">
        <v>17141.93453232</v>
      </c>
      <c r="D36" s="47">
        <v>532279.04406768</v>
      </c>
      <c r="E36" s="47">
        <v>8333.333333333334</v>
      </c>
      <c r="F36" s="47">
        <v>523945.7107343467</v>
      </c>
      <c r="G36" s="47">
        <v>549420.9786</v>
      </c>
      <c r="H36" s="26">
        <v>532279.04406768</v>
      </c>
    </row>
    <row r="37" spans="1:8" ht="12.75">
      <c r="A37" s="45">
        <v>9</v>
      </c>
      <c r="B37" s="45">
        <v>2016</v>
      </c>
      <c r="C37" s="47">
        <v>16987.898640959997</v>
      </c>
      <c r="D37" s="47">
        <v>527496.03215904</v>
      </c>
      <c r="E37" s="47">
        <v>8333.333333333334</v>
      </c>
      <c r="F37" s="47">
        <v>519162.69882570667</v>
      </c>
      <c r="G37" s="47">
        <v>544483.9308</v>
      </c>
      <c r="H37" s="26">
        <v>527496.03215904</v>
      </c>
    </row>
    <row r="38" spans="1:8" ht="12.75">
      <c r="A38" s="45">
        <v>10</v>
      </c>
      <c r="B38" s="45">
        <v>2016</v>
      </c>
      <c r="C38" s="47">
        <v>14482.00887432</v>
      </c>
      <c r="D38" s="47">
        <v>449684.94222568</v>
      </c>
      <c r="E38" s="47">
        <v>8333.333333333334</v>
      </c>
      <c r="F38" s="47">
        <v>441351.6088923467</v>
      </c>
      <c r="G38" s="47">
        <v>464166.9511</v>
      </c>
      <c r="H38" s="26">
        <v>449684.94222568</v>
      </c>
    </row>
    <row r="39" spans="1:8" ht="12.75">
      <c r="A39" s="13"/>
      <c r="B39" s="13"/>
      <c r="C39" s="14">
        <f aca="true" t="shared" si="5" ref="C39:H39">SUM(C27:C38)</f>
        <v>246715.43827631997</v>
      </c>
      <c r="D39" s="14">
        <f t="shared" si="5"/>
        <v>7660830.660323679</v>
      </c>
      <c r="E39" s="14">
        <f t="shared" si="5"/>
        <v>99999.99999999999</v>
      </c>
      <c r="F39" s="14">
        <f t="shared" si="5"/>
        <v>7560830.660323679</v>
      </c>
      <c r="G39" s="14">
        <f t="shared" si="5"/>
        <v>7907546.098600001</v>
      </c>
      <c r="H39" s="14">
        <f t="shared" si="5"/>
        <v>7660830.660323679</v>
      </c>
    </row>
    <row r="40" spans="3:8" ht="12.75">
      <c r="C40" s="26"/>
      <c r="D40" s="26"/>
      <c r="E40" s="26"/>
      <c r="F40" s="26"/>
      <c r="G40" s="26"/>
      <c r="H40" s="26"/>
    </row>
    <row r="71" spans="1:9" ht="12.75">
      <c r="A71" s="15"/>
      <c r="B71" s="12"/>
      <c r="C71" s="12" t="s">
        <v>40</v>
      </c>
      <c r="D71" s="12"/>
      <c r="E71" s="12"/>
      <c r="F71" s="12"/>
      <c r="G71" s="12"/>
      <c r="H71" s="12"/>
      <c r="I71" s="12"/>
    </row>
    <row r="72" spans="1:9" ht="12.75">
      <c r="A72" s="12" t="s">
        <v>53</v>
      </c>
      <c r="B72" s="12"/>
      <c r="C72" s="12" t="s">
        <v>41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2015</v>
      </c>
      <c r="E73" s="12" t="s">
        <v>3</v>
      </c>
      <c r="F73" s="12">
        <f>+B6+1</f>
        <v>2016</v>
      </c>
      <c r="G73" s="12"/>
      <c r="H73" s="12"/>
      <c r="I73" s="12"/>
    </row>
    <row r="74" spans="1:9" ht="12.75">
      <c r="A74" s="12" t="s">
        <v>63</v>
      </c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42</v>
      </c>
    </row>
    <row r="75" spans="1:9" ht="12.75">
      <c r="A75" s="12"/>
      <c r="B75" s="12" t="s">
        <v>15</v>
      </c>
      <c r="C75" s="12"/>
      <c r="D75" s="12"/>
      <c r="E75" s="12"/>
      <c r="F75" s="12"/>
      <c r="G75" s="12" t="s">
        <v>68</v>
      </c>
      <c r="H75" s="12"/>
      <c r="I75" s="12"/>
    </row>
    <row r="76" spans="1:13" ht="12.75">
      <c r="A76">
        <v>1</v>
      </c>
      <c r="B76" t="str">
        <f>+D3&amp;"-"&amp;(D3+1)</f>
        <v>2015-2016</v>
      </c>
      <c r="C76" s="26">
        <f>+C6+C7+C8</f>
        <v>1886456.99</v>
      </c>
      <c r="D76" s="26">
        <f>+D6+D7+D8</f>
        <v>56593.7097</v>
      </c>
      <c r="E76" s="26">
        <f>+E6+E7+E8</f>
        <v>1829863.2802999998</v>
      </c>
      <c r="F76" s="34">
        <f>(F6+F7+F8)/M76</f>
        <v>0.11170465678993195</v>
      </c>
      <c r="G76">
        <f aca="true" t="shared" si="6" ref="G76:H79">+A76</f>
        <v>1</v>
      </c>
      <c r="H76" t="str">
        <f t="shared" si="6"/>
        <v>2015-2016</v>
      </c>
      <c r="I76" s="26">
        <f>+I6+I7+I8</f>
        <v>1829863.2802999998</v>
      </c>
      <c r="M76">
        <f>+M6+M7+M8</f>
        <v>3</v>
      </c>
    </row>
    <row r="77" spans="1:13" ht="12.75">
      <c r="A77">
        <v>2</v>
      </c>
      <c r="B77" t="str">
        <f>+B76</f>
        <v>2015-2016</v>
      </c>
      <c r="C77" s="26">
        <f>+C9+C10+C11</f>
        <v>2369432.33</v>
      </c>
      <c r="D77" s="26">
        <f>+D9+D10+D11</f>
        <v>71082.9699</v>
      </c>
      <c r="E77" s="26">
        <f>+E9+E10+E11</f>
        <v>2298349.3601</v>
      </c>
      <c r="F77" s="34">
        <f>(F9+F10+F11)/M77</f>
        <v>0.017357562527948216</v>
      </c>
      <c r="G77">
        <f t="shared" si="6"/>
        <v>2</v>
      </c>
      <c r="H77" t="str">
        <f t="shared" si="6"/>
        <v>2015-2016</v>
      </c>
      <c r="I77" s="1">
        <f>+I9+I10+I11</f>
        <v>2298349.3601</v>
      </c>
      <c r="M77">
        <f>+M9+M10+M11</f>
        <v>3</v>
      </c>
    </row>
    <row r="78" spans="1:13" ht="12.75">
      <c r="A78">
        <v>3</v>
      </c>
      <c r="B78" t="str">
        <f>+B76</f>
        <v>2015-2016</v>
      </c>
      <c r="C78" s="26">
        <f>+C12+C13+C14</f>
        <v>2289960.41</v>
      </c>
      <c r="D78" s="26">
        <f>+D12+D13+D14</f>
        <v>68698.81229999999</v>
      </c>
      <c r="E78" s="26">
        <f>+E12+E13+E14</f>
        <v>2221261.5977</v>
      </c>
      <c r="F78" s="34">
        <f>(F12+F13+F14)/M78</f>
        <v>0.036611468834908956</v>
      </c>
      <c r="G78">
        <f t="shared" si="6"/>
        <v>3</v>
      </c>
      <c r="H78" t="str">
        <f t="shared" si="6"/>
        <v>2015-2016</v>
      </c>
      <c r="I78" s="26">
        <f>+I12+I13+I14</f>
        <v>2221261.5977</v>
      </c>
      <c r="M78">
        <f>+M12+M13+M14</f>
        <v>3</v>
      </c>
    </row>
    <row r="79" spans="1:13" ht="12.75">
      <c r="A79">
        <v>4</v>
      </c>
      <c r="B79" t="str">
        <f>+B76</f>
        <v>2015-2016</v>
      </c>
      <c r="C79" s="56">
        <f>+C15+C16+C17</f>
        <v>1606259.65</v>
      </c>
      <c r="D79" s="56">
        <f>+D15+D16+D17</f>
        <v>48187.7895</v>
      </c>
      <c r="E79" s="56">
        <f>+E15+E16+E17</f>
        <v>1558071.8605</v>
      </c>
      <c r="F79" s="34"/>
      <c r="G79">
        <f t="shared" si="6"/>
        <v>4</v>
      </c>
      <c r="H79" t="str">
        <f t="shared" si="6"/>
        <v>2015-2016</v>
      </c>
      <c r="I79" s="1">
        <f>+I11+I12+I13</f>
        <v>2346363.3998000002</v>
      </c>
      <c r="M79">
        <f>+M15+M16+M17</f>
        <v>3</v>
      </c>
    </row>
    <row r="80" spans="1:9" ht="12.75">
      <c r="A80" s="12" t="s">
        <v>70</v>
      </c>
      <c r="B80" s="12"/>
      <c r="C80" s="38">
        <f>SUM(C76:C79)</f>
        <v>8152109.380000001</v>
      </c>
      <c r="D80" s="38">
        <f>SUM(D76:D79)</f>
        <v>244563.28139999998</v>
      </c>
      <c r="E80" s="38">
        <f>SUM(E76:E79)</f>
        <v>7907546.0986</v>
      </c>
      <c r="F80" s="39">
        <f>+F18</f>
        <v>0.043185443685954894</v>
      </c>
      <c r="G80" s="12"/>
      <c r="H80" s="12"/>
      <c r="I80" s="38">
        <f>SUM(I76:I79)</f>
        <v>8695837.6379</v>
      </c>
    </row>
    <row r="85" spans="1:7" ht="12.75">
      <c r="A85" s="13"/>
      <c r="B85" s="13"/>
      <c r="C85" s="13" t="s">
        <v>30</v>
      </c>
      <c r="D85" s="13"/>
      <c r="E85" s="13"/>
      <c r="F85" s="13"/>
      <c r="G85" s="13"/>
    </row>
    <row r="86" spans="1:7" ht="12.75">
      <c r="A86" s="13"/>
      <c r="B86" s="13"/>
      <c r="C86" s="13" t="s">
        <v>43</v>
      </c>
      <c r="D86" s="13"/>
      <c r="E86" s="13"/>
      <c r="F86" s="13"/>
      <c r="G86" s="13"/>
    </row>
    <row r="87" spans="1:7" ht="12.75">
      <c r="A87" s="13"/>
      <c r="B87" s="13"/>
      <c r="C87" s="13" t="s">
        <v>32</v>
      </c>
      <c r="D87" s="13">
        <f>+B6</f>
        <v>2015</v>
      </c>
      <c r="E87" s="13" t="s">
        <v>3</v>
      </c>
      <c r="F87" s="13">
        <f>+B6+1</f>
        <v>2016</v>
      </c>
      <c r="G87" s="13"/>
    </row>
    <row r="88" spans="1:7" ht="12.75">
      <c r="A88" s="13" t="s">
        <v>63</v>
      </c>
      <c r="B88" s="13" t="s">
        <v>14</v>
      </c>
      <c r="C88" s="13" t="s">
        <v>34</v>
      </c>
      <c r="D88" s="13" t="s">
        <v>35</v>
      </c>
      <c r="E88" s="13" t="s">
        <v>44</v>
      </c>
      <c r="F88" s="13" t="s">
        <v>36</v>
      </c>
      <c r="G88" s="13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s="26" t="str">
        <f>+B76</f>
        <v>2015-2016</v>
      </c>
      <c r="C90" s="40">
        <f>+C27+C28+C29</f>
        <v>57091.73434536</v>
      </c>
      <c r="D90" s="40">
        <f>+D27+D28+D29</f>
        <v>1772771.54595464</v>
      </c>
      <c r="E90" s="40">
        <f>+E27+E28+E29</f>
        <v>25000</v>
      </c>
      <c r="F90" s="40">
        <f>+F27+F28+F29</f>
        <v>1747771.5459546398</v>
      </c>
      <c r="G90" s="40">
        <f>+G27+G28+G29</f>
        <v>1829863.2802999998</v>
      </c>
    </row>
    <row r="91" spans="1:7" ht="12.75">
      <c r="A91">
        <v>2</v>
      </c>
      <c r="B91" t="str">
        <f>+B90</f>
        <v>2015-2016</v>
      </c>
      <c r="C91" s="40">
        <f>+C30+C31+C32</f>
        <v>71708.50003512</v>
      </c>
      <c r="D91" s="40">
        <f>+D30+D31+D32</f>
        <v>2226640.86006488</v>
      </c>
      <c r="E91" s="40">
        <f>+E30+E31+E32</f>
        <v>25000</v>
      </c>
      <c r="F91" s="40">
        <f>+F30+F31+F32</f>
        <v>2201640.86006488</v>
      </c>
      <c r="G91" s="40">
        <f>+G30+G31+G32</f>
        <v>2298349.3601</v>
      </c>
    </row>
    <row r="92" spans="1:7" ht="12.75">
      <c r="A92">
        <v>3</v>
      </c>
      <c r="B92" t="str">
        <f>+B90</f>
        <v>2015-2016</v>
      </c>
      <c r="C92" s="40">
        <f>+C33+C34+C35</f>
        <v>69303.36184823999</v>
      </c>
      <c r="D92" s="40">
        <f>+D33+D34+D35</f>
        <v>2151958.23585176</v>
      </c>
      <c r="E92" s="40">
        <f>+E33+E34+E35</f>
        <v>25000</v>
      </c>
      <c r="F92" s="40">
        <f>+F33+F34+F35</f>
        <v>2126958.23585176</v>
      </c>
      <c r="G92" s="40">
        <f>+G33+G34+G35</f>
        <v>2221261.5977</v>
      </c>
    </row>
    <row r="93" spans="1:7" ht="12.75">
      <c r="A93">
        <v>4</v>
      </c>
      <c r="B93" t="str">
        <f>+B90</f>
        <v>2015-2016</v>
      </c>
      <c r="C93" s="40">
        <f>+C36+C37+C38</f>
        <v>48611.8420476</v>
      </c>
      <c r="D93" s="40">
        <f>+D36+D37+D38</f>
        <v>1509460.0184524</v>
      </c>
      <c r="E93" s="40">
        <f>+E36+E37+E38</f>
        <v>25000</v>
      </c>
      <c r="F93" s="40">
        <f>+F36+F37+F38</f>
        <v>1484460.0184524</v>
      </c>
      <c r="G93" s="40">
        <f>+G36+G37+G38</f>
        <v>1558071.8605</v>
      </c>
    </row>
    <row r="94" spans="1:7" ht="12.75">
      <c r="A94" s="12" t="s">
        <v>70</v>
      </c>
      <c r="B94" s="12"/>
      <c r="C94" s="38">
        <f>SUM(C90:C93)</f>
        <v>246715.43827632</v>
      </c>
      <c r="D94" s="38">
        <f>SUM(D90:D93)</f>
        <v>7660830.66032368</v>
      </c>
      <c r="E94" s="38">
        <f>SUM(E90:E93)</f>
        <v>100000</v>
      </c>
      <c r="F94" s="38">
        <f>SUM(F90:F93)</f>
        <v>7560830.66032368</v>
      </c>
      <c r="G94" s="38">
        <f>SUM(G90:G93)</f>
        <v>7907546.0986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zoomScalePageLayoutView="0" workbookViewId="0" topLeftCell="A4">
      <selection activeCell="L5" sqref="L5"/>
    </sheetView>
  </sheetViews>
  <sheetFormatPr defaultColWidth="9.140625" defaultRowHeight="12.75"/>
  <cols>
    <col min="3" max="3" width="33.8515625" style="0" customWidth="1"/>
    <col min="4" max="4" width="16.7109375" style="0" bestFit="1" customWidth="1"/>
    <col min="9" max="9" width="16.00390625" style="0" customWidth="1"/>
    <col min="10" max="10" width="17.00390625" style="0" bestFit="1" customWidth="1"/>
    <col min="11" max="11" width="11.140625" style="0" bestFit="1" customWidth="1"/>
    <col min="12" max="12" width="12.7109375" style="0" bestFit="1" customWidth="1"/>
    <col min="14" max="14" width="15.421875" style="0" customWidth="1"/>
    <col min="15" max="15" width="9.421875" style="76" bestFit="1" customWidth="1"/>
    <col min="16" max="16" width="10.00390625" style="0" bestFit="1" customWidth="1"/>
  </cols>
  <sheetData>
    <row r="1" spans="1:28" ht="12.75">
      <c r="A1" s="13"/>
      <c r="B1" s="13"/>
      <c r="C1" s="13" t="s">
        <v>84</v>
      </c>
      <c r="D1" s="13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46"/>
      <c r="W1" s="46"/>
      <c r="X1" s="46"/>
      <c r="Y1" s="46"/>
      <c r="Z1" s="46"/>
      <c r="AA1" s="46"/>
      <c r="AB1" s="46"/>
    </row>
    <row r="2" spans="1:28" ht="12.75">
      <c r="A2" s="13"/>
      <c r="B2" s="13"/>
      <c r="C2" s="13" t="s">
        <v>85</v>
      </c>
      <c r="D2" s="13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46"/>
      <c r="W2" s="46"/>
      <c r="X2" s="46"/>
      <c r="Y2" s="46"/>
      <c r="Z2" s="46"/>
      <c r="AA2" s="46"/>
      <c r="AB2" s="46"/>
    </row>
    <row r="3" spans="1:28" ht="12.75">
      <c r="A3" s="13"/>
      <c r="B3" s="13"/>
      <c r="C3" s="13" t="s">
        <v>86</v>
      </c>
      <c r="D3" s="13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46"/>
      <c r="W3" s="46"/>
      <c r="X3" s="46"/>
      <c r="Y3" s="46"/>
      <c r="Z3" s="46"/>
      <c r="AA3" s="46"/>
      <c r="AB3" s="46"/>
    </row>
    <row r="4" spans="1:28" ht="12.75">
      <c r="A4" s="13"/>
      <c r="B4" s="13"/>
      <c r="C4" s="13" t="str">
        <f>+B6&amp;"-"&amp;B6+1</f>
        <v>2015-2016</v>
      </c>
      <c r="D4" s="13"/>
      <c r="F4" s="77"/>
      <c r="G4" s="77"/>
      <c r="H4" s="77"/>
      <c r="I4" s="77"/>
      <c r="J4" s="82" t="str">
        <f>+B6-1&amp;"-"&amp;B6</f>
        <v>2014-2015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46"/>
      <c r="W4" s="46"/>
      <c r="X4" s="46"/>
      <c r="Y4" s="46"/>
      <c r="Z4" s="46"/>
      <c r="AA4" s="46"/>
      <c r="AB4" s="46"/>
    </row>
    <row r="5" spans="1:28" ht="12.75">
      <c r="A5" s="13" t="s">
        <v>4</v>
      </c>
      <c r="B5" s="13" t="s">
        <v>14</v>
      </c>
      <c r="C5" s="13" t="s">
        <v>19</v>
      </c>
      <c r="D5" s="13" t="s">
        <v>21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46"/>
      <c r="W5" s="46"/>
      <c r="X5" s="46"/>
      <c r="Y5" s="46"/>
      <c r="Z5" s="46"/>
      <c r="AA5" s="46"/>
      <c r="AB5" s="46"/>
    </row>
    <row r="6" spans="1:28" ht="12.75">
      <c r="A6" s="45">
        <v>10</v>
      </c>
      <c r="B6" s="45">
        <v>2015</v>
      </c>
      <c r="C6" s="47">
        <f>87209.41+71292.42+106693.21</f>
        <v>265195.04000000004</v>
      </c>
      <c r="D6" s="2">
        <f aca="true" t="shared" si="0" ref="D6:D17">+(C6/I6)-1</f>
        <v>0.09911577963145368</v>
      </c>
      <c r="F6" s="77"/>
      <c r="G6" s="77"/>
      <c r="H6" s="77"/>
      <c r="I6" s="78">
        <f>100425.96+81292.33+59562.06</f>
        <v>241280.35</v>
      </c>
      <c r="J6" s="79">
        <f>+IF(O6=1,I6,"")</f>
        <v>241280.35</v>
      </c>
      <c r="K6" s="77"/>
      <c r="L6" s="77"/>
      <c r="M6" s="77"/>
      <c r="N6" s="78">
        <f>100425.96+81292.33+59562.06</f>
        <v>241280.35</v>
      </c>
      <c r="O6" s="77">
        <f>IF(A6&gt;0,1,0)</f>
        <v>1</v>
      </c>
      <c r="P6" s="80">
        <f>IF(O6=1,DATE(B6,A6,1),"")</f>
        <v>42278</v>
      </c>
      <c r="Q6" s="77"/>
      <c r="R6" s="77"/>
      <c r="S6" s="77"/>
      <c r="T6" s="77"/>
      <c r="U6" s="77"/>
      <c r="V6" s="46"/>
      <c r="W6" s="46"/>
      <c r="X6" s="46"/>
      <c r="Y6" s="46"/>
      <c r="Z6" s="46"/>
      <c r="AA6" s="46"/>
      <c r="AB6" s="46"/>
    </row>
    <row r="7" spans="1:28" ht="12.75">
      <c r="A7" s="45">
        <v>11</v>
      </c>
      <c r="B7" s="45">
        <v>2015</v>
      </c>
      <c r="C7" s="47">
        <v>279398.98</v>
      </c>
      <c r="D7" s="2">
        <f t="shared" si="0"/>
        <v>0.13601277738492001</v>
      </c>
      <c r="F7" s="77"/>
      <c r="G7" s="77"/>
      <c r="H7" s="77"/>
      <c r="I7" s="78">
        <f>96974.68+61745.52+87226.84</f>
        <v>245947.03999999998</v>
      </c>
      <c r="J7" s="79">
        <f aca="true" t="shared" si="1" ref="J7:J17">+IF(O7=1,I7,"")</f>
        <v>245947.03999999998</v>
      </c>
      <c r="K7" s="77"/>
      <c r="L7" s="77"/>
      <c r="M7" s="77"/>
      <c r="N7" s="78">
        <f>96974.68+61745.52+87226.84</f>
        <v>245947.03999999998</v>
      </c>
      <c r="O7" s="77">
        <f aca="true" t="shared" si="2" ref="O7:O17">IF(A7&gt;0,1,0)</f>
        <v>1</v>
      </c>
      <c r="P7" s="80">
        <f aca="true" t="shared" si="3" ref="P7:P17">IF(O7=1,DATE(B7,A7,1),"")</f>
        <v>42309</v>
      </c>
      <c r="Q7" s="77"/>
      <c r="R7" s="77"/>
      <c r="S7" s="77"/>
      <c r="T7" s="77"/>
      <c r="U7" s="77"/>
      <c r="V7" s="46"/>
      <c r="W7" s="46"/>
      <c r="X7" s="46"/>
      <c r="Y7" s="46"/>
      <c r="Z7" s="46"/>
      <c r="AA7" s="46"/>
      <c r="AB7" s="46"/>
    </row>
    <row r="8" spans="1:28" ht="12.75">
      <c r="A8" s="45">
        <v>12</v>
      </c>
      <c r="B8" s="45">
        <v>2015</v>
      </c>
      <c r="C8" s="47">
        <f>73026.32+86969.64+98114.54</f>
        <v>258110.5</v>
      </c>
      <c r="D8" s="2">
        <f t="shared" si="0"/>
        <v>0.05795396747134984</v>
      </c>
      <c r="F8" s="77"/>
      <c r="G8" s="77"/>
      <c r="H8" s="77"/>
      <c r="I8" s="78">
        <f>86873.49+62532.45+94565.45</f>
        <v>243971.39</v>
      </c>
      <c r="J8" s="79">
        <f>+IF(O8=1,I8,"")</f>
        <v>243971.39</v>
      </c>
      <c r="K8" s="77"/>
      <c r="L8" s="77"/>
      <c r="M8" s="77"/>
      <c r="N8" s="78">
        <f>86873.49+62532.45+94565.45</f>
        <v>243971.39</v>
      </c>
      <c r="O8" s="77">
        <f>IF(A8&gt;0,1,0)</f>
        <v>1</v>
      </c>
      <c r="P8" s="80">
        <f>IF(O8=1,DATE(B8,A8,1),"")</f>
        <v>42339</v>
      </c>
      <c r="Q8" s="77"/>
      <c r="R8" s="77"/>
      <c r="S8" s="77"/>
      <c r="T8" s="77"/>
      <c r="U8" s="77"/>
      <c r="V8" s="46"/>
      <c r="W8" s="46"/>
      <c r="X8" s="46"/>
      <c r="Y8" s="46"/>
      <c r="Z8" s="46"/>
      <c r="AA8" s="46"/>
      <c r="AB8" s="46"/>
    </row>
    <row r="9" spans="1:28" ht="12.75">
      <c r="A9" s="45">
        <v>1</v>
      </c>
      <c r="B9" s="45">
        <v>2016</v>
      </c>
      <c r="C9" s="47">
        <v>265552.87</v>
      </c>
      <c r="D9" s="2">
        <f t="shared" si="0"/>
        <v>0.04396337601408895</v>
      </c>
      <c r="F9" s="77"/>
      <c r="G9" s="77"/>
      <c r="H9" s="77"/>
      <c r="I9" s="78">
        <v>254369.91</v>
      </c>
      <c r="J9" s="79">
        <f>+IF(O9=1,I9,"")</f>
        <v>254369.91</v>
      </c>
      <c r="K9" s="77"/>
      <c r="L9" s="77"/>
      <c r="M9" s="77"/>
      <c r="N9" s="78">
        <f>97146.92+67291.25+89931.74</f>
        <v>254369.90999999997</v>
      </c>
      <c r="O9" s="77">
        <f t="shared" si="2"/>
        <v>1</v>
      </c>
      <c r="P9" s="80">
        <f t="shared" si="3"/>
        <v>42370</v>
      </c>
      <c r="Q9" s="77"/>
      <c r="R9" s="77"/>
      <c r="S9" s="77"/>
      <c r="T9" s="77"/>
      <c r="U9" s="77"/>
      <c r="V9" s="46"/>
      <c r="W9" s="46"/>
      <c r="X9" s="46"/>
      <c r="Y9" s="46"/>
      <c r="Z9" s="46"/>
      <c r="AA9" s="46"/>
      <c r="AB9" s="46"/>
    </row>
    <row r="10" spans="1:28" ht="12.75">
      <c r="A10" s="45">
        <v>2</v>
      </c>
      <c r="B10" s="45">
        <v>2016</v>
      </c>
      <c r="C10" s="47">
        <v>258567.85</v>
      </c>
      <c r="D10" s="2">
        <f t="shared" si="0"/>
        <v>-0.014582561514405179</v>
      </c>
      <c r="F10" s="77"/>
      <c r="G10" s="77"/>
      <c r="H10" s="77"/>
      <c r="I10" s="78">
        <f>93240.77+68777.91+100375.55</f>
        <v>262394.23</v>
      </c>
      <c r="J10" s="79">
        <f>+IF(O10=1,I10,"")</f>
        <v>262394.23</v>
      </c>
      <c r="K10" s="77"/>
      <c r="L10" s="77"/>
      <c r="M10" s="77"/>
      <c r="N10" s="78">
        <f>93240.77+68777.91+100375.55</f>
        <v>262394.23</v>
      </c>
      <c r="O10" s="77">
        <f>IF(A10&gt;0,1,0)</f>
        <v>1</v>
      </c>
      <c r="P10" s="80">
        <f t="shared" si="3"/>
        <v>42401</v>
      </c>
      <c r="Q10" s="77"/>
      <c r="R10" s="77"/>
      <c r="S10" s="77"/>
      <c r="T10" s="77"/>
      <c r="U10" s="77"/>
      <c r="V10" s="46"/>
      <c r="W10" s="46"/>
      <c r="X10" s="46"/>
      <c r="Y10" s="46"/>
      <c r="Z10" s="46"/>
      <c r="AA10" s="46"/>
      <c r="AB10" s="46"/>
    </row>
    <row r="11" spans="1:28" ht="12.75">
      <c r="A11" s="45">
        <v>3</v>
      </c>
      <c r="B11" s="45">
        <v>2016</v>
      </c>
      <c r="C11" s="47">
        <v>275122.53</v>
      </c>
      <c r="D11" s="2">
        <f t="shared" si="0"/>
        <v>0.007035494051016</v>
      </c>
      <c r="F11" s="77"/>
      <c r="G11" s="77"/>
      <c r="H11" s="77"/>
      <c r="I11" s="78">
        <v>273200.43</v>
      </c>
      <c r="J11" s="79">
        <f>+IF(O11=1,I11,"")</f>
        <v>273200.43</v>
      </c>
      <c r="K11" s="77"/>
      <c r="L11" s="77"/>
      <c r="M11" s="77"/>
      <c r="N11" s="78">
        <f>78067.63+99459.16+95673.64</f>
        <v>273200.43</v>
      </c>
      <c r="O11" s="77">
        <f>IF(A11&gt;0,1,0)</f>
        <v>1</v>
      </c>
      <c r="P11" s="80">
        <f t="shared" si="3"/>
        <v>42430</v>
      </c>
      <c r="Q11" s="77"/>
      <c r="R11" s="77"/>
      <c r="S11" s="77"/>
      <c r="T11" s="77"/>
      <c r="U11" s="77"/>
      <c r="V11" s="46"/>
      <c r="W11" s="46"/>
      <c r="X11" s="46"/>
      <c r="Y11" s="46"/>
      <c r="Z11" s="46"/>
      <c r="AA11" s="46"/>
      <c r="AB11" s="46"/>
    </row>
    <row r="12" spans="1:28" ht="12.75">
      <c r="A12" s="45">
        <v>4</v>
      </c>
      <c r="B12" s="45">
        <v>2016</v>
      </c>
      <c r="C12" s="47">
        <v>297556.95</v>
      </c>
      <c r="D12" s="2">
        <f t="shared" si="0"/>
        <v>0.006056416216256633</v>
      </c>
      <c r="F12" s="77"/>
      <c r="G12" s="77"/>
      <c r="H12" s="77"/>
      <c r="I12" s="78">
        <v>295765.67</v>
      </c>
      <c r="J12" s="79">
        <f t="shared" si="1"/>
        <v>295765.67</v>
      </c>
      <c r="K12" s="77"/>
      <c r="L12" s="77"/>
      <c r="M12" s="77"/>
      <c r="N12" s="78">
        <f>102346.53+85806.5+107612.64</f>
        <v>295765.67</v>
      </c>
      <c r="O12" s="77">
        <f t="shared" si="2"/>
        <v>1</v>
      </c>
      <c r="P12" s="80">
        <f t="shared" si="3"/>
        <v>42461</v>
      </c>
      <c r="Q12" s="77"/>
      <c r="R12" s="77"/>
      <c r="S12" s="77"/>
      <c r="T12" s="77"/>
      <c r="U12" s="77"/>
      <c r="V12" s="46"/>
      <c r="W12" s="46"/>
      <c r="X12" s="46"/>
      <c r="Y12" s="46"/>
      <c r="Z12" s="46"/>
      <c r="AA12" s="46"/>
      <c r="AB12" s="46"/>
    </row>
    <row r="13" spans="1:28" ht="12.75">
      <c r="A13" s="45">
        <v>5</v>
      </c>
      <c r="B13" s="45">
        <v>2016</v>
      </c>
      <c r="C13" s="26">
        <v>303983.45</v>
      </c>
      <c r="D13" s="2">
        <f t="shared" si="0"/>
        <v>0.051666664129613515</v>
      </c>
      <c r="F13" s="77"/>
      <c r="G13" s="77"/>
      <c r="H13" s="77"/>
      <c r="I13" s="78">
        <f>110885.09+96510.37+81653.78</f>
        <v>289049.24</v>
      </c>
      <c r="J13" s="79">
        <f t="shared" si="1"/>
        <v>289049.24</v>
      </c>
      <c r="K13" s="77"/>
      <c r="L13" s="77"/>
      <c r="M13" s="77"/>
      <c r="N13" s="78">
        <f>110885.09+96510.37+81653.78</f>
        <v>289049.24</v>
      </c>
      <c r="O13" s="77">
        <f t="shared" si="2"/>
        <v>1</v>
      </c>
      <c r="P13" s="80">
        <f t="shared" si="3"/>
        <v>42491</v>
      </c>
      <c r="Q13" s="77"/>
      <c r="R13" s="77"/>
      <c r="S13" s="77"/>
      <c r="T13" s="77"/>
      <c r="U13" s="77"/>
      <c r="V13" s="46"/>
      <c r="W13" s="46"/>
      <c r="X13" s="46"/>
      <c r="Y13" s="46"/>
      <c r="Z13" s="46"/>
      <c r="AA13" s="46"/>
      <c r="AB13" s="46"/>
    </row>
    <row r="14" spans="1:28" ht="12.75">
      <c r="A14" s="45">
        <v>6</v>
      </c>
      <c r="B14" s="45">
        <v>2016</v>
      </c>
      <c r="C14" s="47">
        <v>294083.88</v>
      </c>
      <c r="D14" s="2">
        <f t="shared" si="0"/>
        <v>-0.02169855812551824</v>
      </c>
      <c r="F14" s="77"/>
      <c r="G14" s="77"/>
      <c r="H14" s="77"/>
      <c r="I14" s="78">
        <f>107590.19+92283.31+100733.11</f>
        <v>300606.61</v>
      </c>
      <c r="J14" s="79">
        <f t="shared" si="1"/>
        <v>300606.61</v>
      </c>
      <c r="K14" s="77"/>
      <c r="L14" s="77"/>
      <c r="M14" s="77"/>
      <c r="N14" s="78">
        <f>107590.19+92283.31+100733.11</f>
        <v>300606.61</v>
      </c>
      <c r="O14" s="77">
        <f t="shared" si="2"/>
        <v>1</v>
      </c>
      <c r="P14" s="80">
        <f t="shared" si="3"/>
        <v>42522</v>
      </c>
      <c r="Q14" s="77"/>
      <c r="R14" s="77"/>
      <c r="S14" s="77"/>
      <c r="T14" s="77"/>
      <c r="U14" s="77"/>
      <c r="V14" s="46"/>
      <c r="W14" s="46"/>
      <c r="X14" s="46"/>
      <c r="Y14" s="46"/>
      <c r="Z14" s="46"/>
      <c r="AA14" s="46"/>
      <c r="AB14" s="46"/>
    </row>
    <row r="15" spans="1:28" ht="12.75">
      <c r="A15" s="45">
        <v>7</v>
      </c>
      <c r="B15" s="45">
        <v>2016</v>
      </c>
      <c r="C15" s="47">
        <v>264027.98</v>
      </c>
      <c r="D15" s="2">
        <f t="shared" si="0"/>
        <v>-0.005003548067744612</v>
      </c>
      <c r="F15" s="77"/>
      <c r="G15" s="77"/>
      <c r="H15" s="77"/>
      <c r="I15" s="78">
        <v>265355.7</v>
      </c>
      <c r="J15" s="79">
        <f>+IF(O15=1,I15,"")</f>
        <v>265355.7</v>
      </c>
      <c r="K15" s="77"/>
      <c r="L15" s="77"/>
      <c r="M15" s="77"/>
      <c r="N15" s="78">
        <f>89536.93+71753.8+104064.97</f>
        <v>265355.69999999995</v>
      </c>
      <c r="O15" s="77">
        <f t="shared" si="2"/>
        <v>1</v>
      </c>
      <c r="P15" s="80">
        <f t="shared" si="3"/>
        <v>42552</v>
      </c>
      <c r="Q15" s="77"/>
      <c r="R15" s="77"/>
      <c r="S15" s="77"/>
      <c r="T15" s="77"/>
      <c r="U15" s="77"/>
      <c r="V15" s="46"/>
      <c r="W15" s="46"/>
      <c r="X15" s="46"/>
      <c r="Y15" s="46"/>
      <c r="Z15" s="46"/>
      <c r="AA15" s="46"/>
      <c r="AB15" s="46"/>
    </row>
    <row r="16" spans="1:28" ht="12.75">
      <c r="A16" s="45">
        <v>8</v>
      </c>
      <c r="B16" s="45">
        <v>2016</v>
      </c>
      <c r="C16" s="47">
        <v>282971.63</v>
      </c>
      <c r="D16" s="2">
        <f t="shared" si="0"/>
        <v>0.05360878197613683</v>
      </c>
      <c r="F16" s="77"/>
      <c r="G16" s="77"/>
      <c r="H16" s="77"/>
      <c r="I16" s="78">
        <v>268573.72</v>
      </c>
      <c r="J16" s="79">
        <f>+IF(O16=1,I16,"")</f>
        <v>268573.72</v>
      </c>
      <c r="K16" s="77"/>
      <c r="L16" s="77"/>
      <c r="M16" s="77"/>
      <c r="N16" s="78">
        <f>72109.46+92830.24+103634.02</f>
        <v>268573.72000000003</v>
      </c>
      <c r="O16" s="77">
        <f t="shared" si="2"/>
        <v>1</v>
      </c>
      <c r="P16" s="80">
        <f t="shared" si="3"/>
        <v>42583</v>
      </c>
      <c r="Q16" s="77"/>
      <c r="R16" s="77"/>
      <c r="S16" s="77"/>
      <c r="T16" s="77"/>
      <c r="U16" s="77"/>
      <c r="V16" s="46"/>
      <c r="W16" s="46"/>
      <c r="X16" s="46"/>
      <c r="Y16" s="46"/>
      <c r="Z16" s="46"/>
      <c r="AA16" s="46"/>
      <c r="AB16" s="46"/>
    </row>
    <row r="17" spans="1:28" ht="12.75">
      <c r="A17" s="45">
        <v>9</v>
      </c>
      <c r="B17" s="45">
        <v>2016</v>
      </c>
      <c r="C17" s="47">
        <v>253878.49</v>
      </c>
      <c r="D17" s="2">
        <f t="shared" si="0"/>
        <v>-0.04606405521829515</v>
      </c>
      <c r="F17" s="77"/>
      <c r="G17" s="77"/>
      <c r="H17" s="77"/>
      <c r="I17" s="78">
        <v>266137.88</v>
      </c>
      <c r="J17" s="79">
        <f t="shared" si="1"/>
        <v>266137.88</v>
      </c>
      <c r="K17" s="77"/>
      <c r="L17" s="77"/>
      <c r="M17" s="77"/>
      <c r="N17" s="78">
        <f>73780.54+104931.96+87425.38</f>
        <v>266137.88</v>
      </c>
      <c r="O17" s="77">
        <f t="shared" si="2"/>
        <v>1</v>
      </c>
      <c r="P17" s="80">
        <f t="shared" si="3"/>
        <v>42614</v>
      </c>
      <c r="Q17" s="77"/>
      <c r="R17" s="77"/>
      <c r="S17" s="77"/>
      <c r="T17" s="77"/>
      <c r="U17" s="77"/>
      <c r="V17" s="46"/>
      <c r="W17" s="46"/>
      <c r="X17" s="46"/>
      <c r="Y17" s="46"/>
      <c r="Z17" s="46"/>
      <c r="AA17" s="46"/>
      <c r="AB17" s="46"/>
    </row>
    <row r="18" spans="1:28" ht="12.75">
      <c r="A18" s="13"/>
      <c r="B18" s="13"/>
      <c r="C18" s="14">
        <f>SUM(C6:C17)</f>
        <v>3298450.1500000004</v>
      </c>
      <c r="D18" s="19">
        <f>+J45</f>
        <v>0.028627358108503698</v>
      </c>
      <c r="F18" s="77"/>
      <c r="G18" s="77"/>
      <c r="H18" s="77"/>
      <c r="I18" s="77"/>
      <c r="J18" s="79"/>
      <c r="K18" s="77"/>
      <c r="L18" s="77"/>
      <c r="M18" s="77"/>
      <c r="N18" s="77"/>
      <c r="O18" s="81">
        <f>SUM(O6:O17)</f>
        <v>12</v>
      </c>
      <c r="P18" s="77"/>
      <c r="Q18" s="77"/>
      <c r="R18" s="77"/>
      <c r="S18" s="77"/>
      <c r="T18" s="77"/>
      <c r="U18" s="77"/>
      <c r="V18" s="46"/>
      <c r="W18" s="46"/>
      <c r="X18" s="46"/>
      <c r="Y18" s="46"/>
      <c r="Z18" s="46"/>
      <c r="AA18" s="46"/>
      <c r="AB18" s="46"/>
    </row>
    <row r="19" spans="6:28" ht="12.75"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46"/>
      <c r="W19" s="46"/>
      <c r="X19" s="46"/>
      <c r="Y19" s="46"/>
      <c r="Z19" s="46"/>
      <c r="AA19" s="46"/>
      <c r="AB19" s="46"/>
    </row>
    <row r="20" spans="6:28" ht="12.75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46"/>
      <c r="W20" s="46"/>
      <c r="X20" s="46"/>
      <c r="Y20" s="46"/>
      <c r="Z20" s="46"/>
      <c r="AA20" s="46"/>
      <c r="AB20" s="46"/>
    </row>
    <row r="21" spans="6:28" ht="12.75"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46"/>
      <c r="W21" s="46"/>
      <c r="X21" s="46"/>
      <c r="Y21" s="46"/>
      <c r="Z21" s="46"/>
      <c r="AA21" s="46"/>
      <c r="AB21" s="46"/>
    </row>
    <row r="22" spans="6:28" ht="12.75"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46"/>
      <c r="W22" s="46"/>
      <c r="X22" s="46"/>
      <c r="Y22" s="46"/>
      <c r="Z22" s="46"/>
      <c r="AA22" s="46"/>
      <c r="AB22" s="46"/>
    </row>
    <row r="23" spans="6:28" ht="12.75"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46"/>
      <c r="W23" s="46"/>
      <c r="X23" s="46"/>
      <c r="Y23" s="46"/>
      <c r="Z23" s="46"/>
      <c r="AA23" s="46"/>
      <c r="AB23" s="46"/>
    </row>
    <row r="24" spans="6:28" ht="12.75"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46"/>
      <c r="W24" s="46"/>
      <c r="X24" s="46"/>
      <c r="Y24" s="46"/>
      <c r="Z24" s="46"/>
      <c r="AA24" s="46"/>
      <c r="AB24" s="46"/>
    </row>
    <row r="25" spans="6:28" ht="12.75"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46"/>
      <c r="W25" s="46"/>
      <c r="X25" s="46"/>
      <c r="Y25" s="46"/>
      <c r="Z25" s="46"/>
      <c r="AA25" s="46"/>
      <c r="AB25" s="46"/>
    </row>
    <row r="26" spans="6:28" ht="12.75"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46"/>
      <c r="W26" s="46"/>
      <c r="X26" s="46"/>
      <c r="Y26" s="46"/>
      <c r="Z26" s="46"/>
      <c r="AA26" s="46"/>
      <c r="AB26" s="46"/>
    </row>
    <row r="27" spans="6:28" ht="12.75">
      <c r="F27" s="77"/>
      <c r="G27" s="77"/>
      <c r="H27" s="7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9:25" ht="12.75"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9:25" ht="12.75"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9:25" ht="12.75"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9:25" ht="12.75"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9:25" ht="12.75"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45" spans="10:12" ht="12.75">
      <c r="J45" s="74">
        <f>+(K45/L45)-1</f>
        <v>0.028627358108503698</v>
      </c>
      <c r="K45" s="75">
        <f>SUM(C6:C17)</f>
        <v>3298450.1500000004</v>
      </c>
      <c r="L45" s="75">
        <f>SUM(I6:I17)</f>
        <v>3206652.17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  <col min="25" max="25" width="12.00390625" style="0" customWidth="1"/>
  </cols>
  <sheetData>
    <row r="1" spans="1:20" ht="12.75">
      <c r="A1" s="13"/>
      <c r="B1" s="13"/>
      <c r="C1" s="13" t="s">
        <v>0</v>
      </c>
      <c r="D1" s="13"/>
      <c r="E1" s="13"/>
      <c r="F1" s="13"/>
      <c r="G1" s="13"/>
      <c r="H1" s="13"/>
      <c r="I1" s="13"/>
      <c r="J1" s="13"/>
      <c r="K1" s="13"/>
      <c r="R1">
        <f>+B7-1</f>
        <v>2014</v>
      </c>
      <c r="S1" t="s">
        <v>3</v>
      </c>
      <c r="T1">
        <f>+B7</f>
        <v>2015</v>
      </c>
    </row>
    <row r="2" spans="1:11" ht="12.75">
      <c r="A2" s="13"/>
      <c r="B2" s="13"/>
      <c r="C2" s="13" t="s">
        <v>45</v>
      </c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 t="s">
        <v>46</v>
      </c>
      <c r="D3" s="13"/>
      <c r="E3" s="13"/>
      <c r="F3" s="13"/>
      <c r="G3" s="13"/>
      <c r="H3" s="13"/>
      <c r="I3" s="13" t="s">
        <v>47</v>
      </c>
      <c r="J3" s="13" t="s">
        <v>48</v>
      </c>
      <c r="K3" s="13"/>
    </row>
    <row r="4" spans="1:11" ht="12.75">
      <c r="A4" s="13"/>
      <c r="B4" s="13"/>
      <c r="C4" s="13" t="s">
        <v>17</v>
      </c>
      <c r="D4" s="13"/>
      <c r="E4" s="13">
        <f>+B7</f>
        <v>2015</v>
      </c>
      <c r="F4" s="13" t="s">
        <v>3</v>
      </c>
      <c r="G4" s="13">
        <f>+B7+1</f>
        <v>2016</v>
      </c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 t="s">
        <v>49</v>
      </c>
      <c r="G5" s="13"/>
      <c r="H5" s="13"/>
      <c r="I5" s="13" t="s">
        <v>50</v>
      </c>
      <c r="J5" s="13" t="s">
        <v>23</v>
      </c>
      <c r="K5" s="13"/>
    </row>
    <row r="6" spans="1:11" ht="12.75">
      <c r="A6" s="13" t="s">
        <v>4</v>
      </c>
      <c r="B6" s="13" t="s">
        <v>14</v>
      </c>
      <c r="C6" s="13" t="s">
        <v>19</v>
      </c>
      <c r="D6" s="13" t="s">
        <v>6</v>
      </c>
      <c r="E6" s="13" t="s">
        <v>20</v>
      </c>
      <c r="F6" s="13" t="s">
        <v>8</v>
      </c>
      <c r="G6" s="13" t="s">
        <v>33</v>
      </c>
      <c r="H6" s="13"/>
      <c r="I6" s="13" t="s">
        <v>51</v>
      </c>
      <c r="J6" s="13" t="s">
        <v>52</v>
      </c>
      <c r="K6" s="13"/>
    </row>
    <row r="7" spans="1:26" ht="12.75">
      <c r="A7" s="45">
        <v>10</v>
      </c>
      <c r="B7" s="45">
        <v>2015</v>
      </c>
      <c r="C7" s="47">
        <v>1935563.47</v>
      </c>
      <c r="D7" s="47">
        <v>58066.9041</v>
      </c>
      <c r="E7" s="47">
        <v>1877496.5659</v>
      </c>
      <c r="F7" s="48">
        <v>-0.04144948508607449</v>
      </c>
      <c r="G7" s="45">
        <v>11</v>
      </c>
      <c r="H7" s="45">
        <v>2015</v>
      </c>
      <c r="I7" s="47">
        <v>1595872.081015</v>
      </c>
      <c r="J7" s="47">
        <v>281624.484885</v>
      </c>
      <c r="N7" s="53">
        <v>0.0557</v>
      </c>
      <c r="P7">
        <f>IF(I7&gt;0,1,0)</f>
        <v>1</v>
      </c>
      <c r="Q7" s="23">
        <f>DATE(B7,A7,1)</f>
        <v>42278</v>
      </c>
      <c r="R7" s="21">
        <f aca="true" t="shared" si="0" ref="R7:R18">IF(E7&gt;0,Q7,"")</f>
        <v>42278</v>
      </c>
      <c r="T7" s="22">
        <f>IF(P7=1,(F7+1),"")</f>
        <v>0.9585505149139255</v>
      </c>
      <c r="U7" s="20">
        <f>IF(P7=1,C7/T7,"")</f>
        <v>2019260.79</v>
      </c>
      <c r="V7" s="20"/>
      <c r="X7" s="20">
        <f>IF(P7=1,E7/T7,0)</f>
        <v>1958682.9663</v>
      </c>
      <c r="Y7" s="20">
        <f>IF(P7=1,X7*0.85,0)</f>
        <v>1664880.5213549999</v>
      </c>
      <c r="Z7" s="20">
        <f>IF(P7=1,X7*0.15,0)</f>
        <v>293802.444945</v>
      </c>
    </row>
    <row r="8" spans="1:26" ht="12.75">
      <c r="A8" s="45">
        <v>11</v>
      </c>
      <c r="B8" s="45">
        <v>2015</v>
      </c>
      <c r="C8" s="47">
        <v>1725780.21</v>
      </c>
      <c r="D8" s="47">
        <v>51773.406299999995</v>
      </c>
      <c r="E8" s="47">
        <v>1674006.8037</v>
      </c>
      <c r="F8" s="48">
        <v>0.17179636854389346</v>
      </c>
      <c r="G8" s="45">
        <v>12</v>
      </c>
      <c r="H8" s="45">
        <v>2015</v>
      </c>
      <c r="I8" s="47">
        <v>1422905.783145</v>
      </c>
      <c r="J8" s="47">
        <v>251101.020555</v>
      </c>
      <c r="P8">
        <f aca="true" t="shared" si="1" ref="P8:P18">IF(I8&gt;0,1,0)</f>
        <v>1</v>
      </c>
      <c r="Q8" s="23">
        <f aca="true" t="shared" si="2" ref="Q8:Q18">DATE(B8,A8,1)</f>
        <v>42309</v>
      </c>
      <c r="R8" s="21">
        <f t="shared" si="0"/>
        <v>42309</v>
      </c>
      <c r="T8" s="22">
        <f aca="true" t="shared" si="3" ref="T8:T18">IF(P8=1,(F8+1),"")</f>
        <v>1.1717963685438935</v>
      </c>
      <c r="U8" s="20">
        <f>IF(P8=1,C8/T8,"")</f>
        <v>1472764.6</v>
      </c>
      <c r="V8" s="20"/>
      <c r="X8" s="20">
        <f aca="true" t="shared" si="4" ref="X8:X18">IF(P8=1,E8/T8,0)</f>
        <v>1428581.6620000002</v>
      </c>
      <c r="Y8" s="20">
        <f aca="true" t="shared" si="5" ref="Y8:Y18">IF(P8=1,X8*0.85,0)</f>
        <v>1214294.4127000002</v>
      </c>
      <c r="Z8" s="20">
        <f aca="true" t="shared" si="6" ref="Z8:Z18">IF(P8=1,X8*0.15,0)</f>
        <v>214287.24930000002</v>
      </c>
    </row>
    <row r="9" spans="1:26" ht="12.75">
      <c r="A9" s="45">
        <v>12</v>
      </c>
      <c r="B9" s="45">
        <v>2015</v>
      </c>
      <c r="C9" s="47">
        <v>2119213.29</v>
      </c>
      <c r="D9" s="47">
        <v>63576.3987</v>
      </c>
      <c r="E9" s="47">
        <v>2055636.8913</v>
      </c>
      <c r="F9" s="48">
        <v>0.2123740497172646</v>
      </c>
      <c r="G9" s="45">
        <v>1</v>
      </c>
      <c r="H9" s="45">
        <v>2016</v>
      </c>
      <c r="I9" s="47">
        <v>1747291.357605</v>
      </c>
      <c r="J9" s="47">
        <v>308345.533695</v>
      </c>
      <c r="P9">
        <f t="shared" si="1"/>
        <v>1</v>
      </c>
      <c r="Q9" s="23">
        <f t="shared" si="2"/>
        <v>42339</v>
      </c>
      <c r="R9" s="21">
        <f t="shared" si="0"/>
        <v>42339</v>
      </c>
      <c r="T9" s="22">
        <f t="shared" si="3"/>
        <v>1.2123740497172646</v>
      </c>
      <c r="U9" s="20">
        <f aca="true" t="shared" si="7" ref="U9:U18">IF(P9=1,C9/T9,"")</f>
        <v>1747986.35</v>
      </c>
      <c r="V9" s="20"/>
      <c r="X9" s="20">
        <f t="shared" si="4"/>
        <v>1695546.7595000002</v>
      </c>
      <c r="Y9" s="20">
        <f t="shared" si="5"/>
        <v>1441214.745575</v>
      </c>
      <c r="Z9" s="20">
        <f t="shared" si="6"/>
        <v>254332.013925</v>
      </c>
    </row>
    <row r="10" spans="1:26" ht="12.75">
      <c r="A10" s="45">
        <v>1</v>
      </c>
      <c r="B10" s="45">
        <v>2016</v>
      </c>
      <c r="C10" s="47">
        <v>2311099.14</v>
      </c>
      <c r="D10" s="47">
        <v>69332.9742</v>
      </c>
      <c r="E10" s="47">
        <v>2241766.1658</v>
      </c>
      <c r="F10" s="48">
        <v>-0.011376920866033813</v>
      </c>
      <c r="G10" s="45">
        <v>2</v>
      </c>
      <c r="H10" s="45">
        <v>2016</v>
      </c>
      <c r="I10" s="47">
        <v>1905501.24093</v>
      </c>
      <c r="J10" s="47">
        <v>336264.92487</v>
      </c>
      <c r="P10">
        <f t="shared" si="1"/>
        <v>1</v>
      </c>
      <c r="Q10" s="23">
        <f t="shared" si="2"/>
        <v>42370</v>
      </c>
      <c r="R10" s="21">
        <f t="shared" si="0"/>
        <v>42370</v>
      </c>
      <c r="T10" s="22">
        <f>IF(P10=1,(F10+1),"")</f>
        <v>0.9886230791339662</v>
      </c>
      <c r="U10" s="20">
        <f>IF(P10=1,C10/T10,"")</f>
        <v>2337694.91</v>
      </c>
      <c r="V10" s="20"/>
      <c r="X10" s="20">
        <f t="shared" si="4"/>
        <v>2267564.0627</v>
      </c>
      <c r="Y10" s="20">
        <f t="shared" si="5"/>
        <v>1927429.4532950001</v>
      </c>
      <c r="Z10" s="20">
        <f t="shared" si="6"/>
        <v>340134.609405</v>
      </c>
    </row>
    <row r="11" spans="1:26" ht="12.75">
      <c r="A11" s="45">
        <v>2</v>
      </c>
      <c r="B11" s="45">
        <v>2016</v>
      </c>
      <c r="C11" s="47">
        <v>2096450.09</v>
      </c>
      <c r="D11" s="47">
        <v>62893.5027</v>
      </c>
      <c r="E11" s="47">
        <v>2033556.5873</v>
      </c>
      <c r="F11" s="48">
        <v>0.04643387982441283</v>
      </c>
      <c r="G11" s="45">
        <v>3</v>
      </c>
      <c r="H11" s="45">
        <v>2016</v>
      </c>
      <c r="I11" s="47">
        <v>1728523.0992049999</v>
      </c>
      <c r="J11" s="47">
        <v>305033.488095</v>
      </c>
      <c r="P11">
        <f t="shared" si="1"/>
        <v>1</v>
      </c>
      <c r="Q11" s="23">
        <f t="shared" si="2"/>
        <v>42401</v>
      </c>
      <c r="R11" s="21">
        <f t="shared" si="0"/>
        <v>42401</v>
      </c>
      <c r="T11" s="22">
        <f t="shared" si="3"/>
        <v>1.0464338798244128</v>
      </c>
      <c r="U11" s="20">
        <f t="shared" si="7"/>
        <v>2003423.3699999999</v>
      </c>
      <c r="V11" s="20"/>
      <c r="X11" s="20">
        <f t="shared" si="4"/>
        <v>1943320.6689</v>
      </c>
      <c r="Y11" s="20">
        <f t="shared" si="5"/>
        <v>1651822.5685649998</v>
      </c>
      <c r="Z11" s="20">
        <f t="shared" si="6"/>
        <v>291498.10033499997</v>
      </c>
    </row>
    <row r="12" spans="1:26" ht="12.75">
      <c r="A12" s="45">
        <v>3</v>
      </c>
      <c r="B12" s="45">
        <v>2016</v>
      </c>
      <c r="C12" s="47">
        <v>2197086.04</v>
      </c>
      <c r="D12" s="47">
        <v>65912.5812</v>
      </c>
      <c r="E12" s="47">
        <v>2131173.4588</v>
      </c>
      <c r="F12" s="48">
        <v>0.03813971212459455</v>
      </c>
      <c r="G12" s="45">
        <v>4</v>
      </c>
      <c r="H12" s="45">
        <v>2016</v>
      </c>
      <c r="I12" s="47">
        <v>1811497.43998</v>
      </c>
      <c r="J12" s="47">
        <v>319676.01882</v>
      </c>
      <c r="P12">
        <f t="shared" si="1"/>
        <v>1</v>
      </c>
      <c r="Q12" s="23">
        <f t="shared" si="2"/>
        <v>42430</v>
      </c>
      <c r="R12" s="21">
        <f t="shared" si="0"/>
        <v>42430</v>
      </c>
      <c r="T12" s="22">
        <f t="shared" si="3"/>
        <v>1.0381397121245945</v>
      </c>
      <c r="U12" s="20">
        <f t="shared" si="7"/>
        <v>2116368.36</v>
      </c>
      <c r="V12" s="20"/>
      <c r="X12" s="20">
        <f t="shared" si="4"/>
        <v>2052877.3091999998</v>
      </c>
      <c r="Y12" s="20">
        <f t="shared" si="5"/>
        <v>1744945.7128199998</v>
      </c>
      <c r="Z12" s="20">
        <f t="shared" si="6"/>
        <v>307931.59637999994</v>
      </c>
    </row>
    <row r="13" spans="1:26" ht="12.75">
      <c r="A13" s="45">
        <v>4</v>
      </c>
      <c r="B13" s="45">
        <v>2016</v>
      </c>
      <c r="C13" s="47">
        <v>2290627.02</v>
      </c>
      <c r="D13" s="47">
        <v>68718.8106</v>
      </c>
      <c r="E13" s="47">
        <v>2221908.2094</v>
      </c>
      <c r="F13" s="48">
        <v>-0.0274295678541725</v>
      </c>
      <c r="G13" s="45">
        <v>5</v>
      </c>
      <c r="H13" s="45">
        <v>2016</v>
      </c>
      <c r="I13" s="47">
        <v>1888621.97799</v>
      </c>
      <c r="J13" s="47">
        <v>333286.23141</v>
      </c>
      <c r="P13">
        <f t="shared" si="1"/>
        <v>1</v>
      </c>
      <c r="Q13" s="23">
        <f t="shared" si="2"/>
        <v>42461</v>
      </c>
      <c r="R13" s="21">
        <f t="shared" si="0"/>
        <v>42461</v>
      </c>
      <c r="T13" s="22">
        <f t="shared" si="3"/>
        <v>0.9725704321458275</v>
      </c>
      <c r="U13" s="20">
        <f t="shared" si="7"/>
        <v>2355229.96</v>
      </c>
      <c r="V13" s="20">
        <f aca="true" t="shared" si="8" ref="V13:V18">IF(P13=1,U13*0.85,"")</f>
        <v>2001945.466</v>
      </c>
      <c r="X13" s="20">
        <f t="shared" si="4"/>
        <v>2284573.0612</v>
      </c>
      <c r="Y13" s="20">
        <f t="shared" si="5"/>
        <v>1941887.1020199999</v>
      </c>
      <c r="Z13" s="20">
        <f t="shared" si="6"/>
        <v>342685.95917999995</v>
      </c>
    </row>
    <row r="14" spans="1:26" ht="12.75">
      <c r="A14" s="45">
        <v>5</v>
      </c>
      <c r="B14" s="45">
        <v>2016</v>
      </c>
      <c r="C14" s="47">
        <v>2265222.95</v>
      </c>
      <c r="D14" s="47">
        <v>67956.6885</v>
      </c>
      <c r="E14" s="47">
        <v>2197266.2615</v>
      </c>
      <c r="F14" s="48">
        <v>0.11897822476209519</v>
      </c>
      <c r="G14" s="45">
        <v>6</v>
      </c>
      <c r="H14" s="45">
        <v>2016</v>
      </c>
      <c r="I14" s="47">
        <v>1867676.322275</v>
      </c>
      <c r="J14" s="47">
        <v>329589.939225</v>
      </c>
      <c r="P14">
        <f t="shared" si="1"/>
        <v>1</v>
      </c>
      <c r="Q14" s="23">
        <f t="shared" si="2"/>
        <v>42491</v>
      </c>
      <c r="R14" s="21">
        <f t="shared" si="0"/>
        <v>42491</v>
      </c>
      <c r="T14" s="22">
        <f t="shared" si="3"/>
        <v>1.1189782247620952</v>
      </c>
      <c r="U14" s="20">
        <f t="shared" si="7"/>
        <v>2024367.3199999998</v>
      </c>
      <c r="V14" s="20">
        <f t="shared" si="8"/>
        <v>1720712.2219999998</v>
      </c>
      <c r="X14" s="20">
        <f t="shared" si="4"/>
        <v>1963636.3003999998</v>
      </c>
      <c r="Y14" s="20">
        <f t="shared" si="5"/>
        <v>1669090.8553399998</v>
      </c>
      <c r="Z14" s="20">
        <f t="shared" si="6"/>
        <v>294545.44505999994</v>
      </c>
    </row>
    <row r="15" spans="1:26" ht="12.75">
      <c r="A15" s="45">
        <v>6</v>
      </c>
      <c r="B15" s="45">
        <v>2016</v>
      </c>
      <c r="C15" s="47">
        <v>2082629.22</v>
      </c>
      <c r="D15" s="47">
        <v>62478.876599999996</v>
      </c>
      <c r="E15" s="47">
        <v>2020150.3434</v>
      </c>
      <c r="F15" s="48">
        <v>0.022661399027716245</v>
      </c>
      <c r="G15" s="45">
        <v>7</v>
      </c>
      <c r="H15" s="45">
        <v>2016</v>
      </c>
      <c r="I15" s="47">
        <v>1717127.7918899998</v>
      </c>
      <c r="J15" s="47">
        <v>303022.55150999996</v>
      </c>
      <c r="P15">
        <f t="shared" si="1"/>
        <v>1</v>
      </c>
      <c r="Q15" s="23">
        <f t="shared" si="2"/>
        <v>42522</v>
      </c>
      <c r="R15" s="21">
        <f t="shared" si="0"/>
        <v>42522</v>
      </c>
      <c r="T15" s="22">
        <f t="shared" si="3"/>
        <v>1.0226613990277162</v>
      </c>
      <c r="U15" s="20">
        <f t="shared" si="7"/>
        <v>2036479.7400000002</v>
      </c>
      <c r="V15" s="20">
        <f t="shared" si="8"/>
        <v>1731007.779</v>
      </c>
      <c r="X15" s="20">
        <f t="shared" si="4"/>
        <v>1975385.3478</v>
      </c>
      <c r="Y15" s="20">
        <f t="shared" si="5"/>
        <v>1679077.54563</v>
      </c>
      <c r="Z15" s="20">
        <f t="shared" si="6"/>
        <v>296307.80217</v>
      </c>
    </row>
    <row r="16" spans="1:26" ht="12.75">
      <c r="A16" s="45">
        <v>7</v>
      </c>
      <c r="B16" s="45">
        <v>2016</v>
      </c>
      <c r="C16" s="47">
        <v>2106880.73</v>
      </c>
      <c r="D16" s="47">
        <v>63206.421899999994</v>
      </c>
      <c r="E16" s="47">
        <v>2043674.3081</v>
      </c>
      <c r="F16" s="48">
        <v>0.07146975077291051</v>
      </c>
      <c r="G16" s="45">
        <v>8</v>
      </c>
      <c r="H16" s="45">
        <v>2016</v>
      </c>
      <c r="I16" s="47">
        <v>1737123.161885</v>
      </c>
      <c r="J16" s="47">
        <v>306551.146215</v>
      </c>
      <c r="P16">
        <f t="shared" si="1"/>
        <v>1</v>
      </c>
      <c r="Q16" s="23">
        <f t="shared" si="2"/>
        <v>42552</v>
      </c>
      <c r="R16" s="21">
        <f t="shared" si="0"/>
        <v>42552</v>
      </c>
      <c r="T16" s="22">
        <f t="shared" si="3"/>
        <v>1.0714697507729105</v>
      </c>
      <c r="U16" s="20">
        <f t="shared" si="7"/>
        <v>1966346.4400000002</v>
      </c>
      <c r="V16" s="20">
        <f t="shared" si="8"/>
        <v>1671394.4740000002</v>
      </c>
      <c r="X16" s="20">
        <f t="shared" si="4"/>
        <v>1907356.0468000001</v>
      </c>
      <c r="Y16" s="20">
        <f t="shared" si="5"/>
        <v>1621252.63978</v>
      </c>
      <c r="Z16" s="20">
        <f t="shared" si="6"/>
        <v>286103.40702</v>
      </c>
    </row>
    <row r="17" spans="1:26" ht="12.75">
      <c r="A17" s="45">
        <v>8</v>
      </c>
      <c r="B17" s="45">
        <v>2016</v>
      </c>
      <c r="C17" s="47">
        <v>2174166.6</v>
      </c>
      <c r="D17" s="47">
        <v>65224.998</v>
      </c>
      <c r="E17" s="47">
        <v>2108941.602</v>
      </c>
      <c r="F17" s="48">
        <v>0.17829651139912084</v>
      </c>
      <c r="G17" s="45">
        <v>9</v>
      </c>
      <c r="H17" s="45">
        <v>2016</v>
      </c>
      <c r="I17" s="47">
        <v>1792600.3617</v>
      </c>
      <c r="J17" s="47">
        <v>316341.2403</v>
      </c>
      <c r="P17">
        <f t="shared" si="1"/>
        <v>1</v>
      </c>
      <c r="Q17" s="23">
        <f t="shared" si="2"/>
        <v>42583</v>
      </c>
      <c r="R17" s="21">
        <f t="shared" si="0"/>
        <v>42583</v>
      </c>
      <c r="T17" s="22">
        <f t="shared" si="3"/>
        <v>1.1782965113991208</v>
      </c>
      <c r="U17" s="20">
        <f t="shared" si="7"/>
        <v>1845177.83</v>
      </c>
      <c r="V17" s="20">
        <f t="shared" si="8"/>
        <v>1568401.1555</v>
      </c>
      <c r="X17" s="20">
        <f t="shared" si="4"/>
        <v>1789822.4951</v>
      </c>
      <c r="Y17" s="20">
        <f t="shared" si="5"/>
        <v>1521349.120835</v>
      </c>
      <c r="Z17" s="20">
        <f t="shared" si="6"/>
        <v>268473.374265</v>
      </c>
    </row>
    <row r="18" spans="1:26" ht="12.75">
      <c r="A18" s="45">
        <v>9</v>
      </c>
      <c r="B18" s="45">
        <v>2016</v>
      </c>
      <c r="C18" s="47">
        <v>1885011.46</v>
      </c>
      <c r="D18" s="47">
        <v>56550.343799999995</v>
      </c>
      <c r="E18" s="47">
        <v>1828461.1162</v>
      </c>
      <c r="F18" s="48">
        <v>0.0025390889874716827</v>
      </c>
      <c r="G18" s="45">
        <v>10</v>
      </c>
      <c r="H18" s="45">
        <v>2016</v>
      </c>
      <c r="I18" s="47">
        <v>1554191.94877</v>
      </c>
      <c r="J18" s="47">
        <v>274269.16743</v>
      </c>
      <c r="P18">
        <f t="shared" si="1"/>
        <v>1</v>
      </c>
      <c r="Q18" s="23">
        <f t="shared" si="2"/>
        <v>42614</v>
      </c>
      <c r="R18" s="21">
        <f t="shared" si="0"/>
        <v>42614</v>
      </c>
      <c r="T18" s="22">
        <f t="shared" si="3"/>
        <v>1.0025390889874717</v>
      </c>
      <c r="U18" s="20">
        <f t="shared" si="7"/>
        <v>1880237.3700000003</v>
      </c>
      <c r="V18" s="20">
        <f t="shared" si="8"/>
        <v>1598201.7645000003</v>
      </c>
      <c r="X18" s="20">
        <f t="shared" si="4"/>
        <v>1823830.2489000002</v>
      </c>
      <c r="Y18" s="20">
        <f t="shared" si="5"/>
        <v>1550255.7115650002</v>
      </c>
      <c r="Z18" s="20">
        <f t="shared" si="6"/>
        <v>273574.537335</v>
      </c>
    </row>
    <row r="19" spans="1:24" ht="12.75">
      <c r="A19" s="13"/>
      <c r="B19" s="13"/>
      <c r="C19" s="14">
        <f>SUM(C7:C18)</f>
        <v>25189730.22</v>
      </c>
      <c r="D19" s="14">
        <f>SUM(D7:D18)</f>
        <v>755691.9066</v>
      </c>
      <c r="E19" s="14">
        <f>SUM(E7:E18)</f>
        <v>24434038.3134</v>
      </c>
      <c r="F19" s="19">
        <f>(C19/U19)-1</f>
        <v>0.05815473974066432</v>
      </c>
      <c r="G19" s="13"/>
      <c r="H19" s="13"/>
      <c r="I19" s="14">
        <f>SUM(I7:I18)</f>
        <v>20768932.56639</v>
      </c>
      <c r="J19" s="14">
        <f>SUM(J7:J18)</f>
        <v>3665105.74701</v>
      </c>
      <c r="K19" s="13"/>
      <c r="P19">
        <f>SUM(P7:P18)</f>
        <v>12</v>
      </c>
      <c r="R19" s="2">
        <f>(F7+F8+F9+F10+F11+F12+F13+F14+F15+F16+F17+F18)/P19</f>
        <v>0.06520275094609992</v>
      </c>
      <c r="U19" s="20">
        <f>SUM(U7:U18)</f>
        <v>23805337.040000003</v>
      </c>
      <c r="X19" s="20">
        <f>IF(P19=1,F19/W19,"")</f>
      </c>
    </row>
    <row r="51" spans="1:11" ht="12.75">
      <c r="A51" s="13"/>
      <c r="B51" s="13"/>
      <c r="C51" s="13" t="s">
        <v>0</v>
      </c>
      <c r="D51" s="13"/>
      <c r="E51" s="13"/>
      <c r="F51" s="13"/>
      <c r="G51" s="13"/>
      <c r="H51" s="13"/>
      <c r="I51" s="13"/>
      <c r="J51" s="13"/>
      <c r="K51" s="13"/>
    </row>
    <row r="52" spans="1:11" ht="12.75">
      <c r="A52" s="13"/>
      <c r="B52" s="13"/>
      <c r="C52" s="13" t="s">
        <v>45</v>
      </c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3"/>
      <c r="B53" s="13"/>
      <c r="C53" s="13" t="s">
        <v>46</v>
      </c>
      <c r="D53" s="13"/>
      <c r="E53" s="13"/>
      <c r="F53" s="13"/>
      <c r="G53" s="13"/>
      <c r="H53" s="13"/>
      <c r="I53" s="13" t="s">
        <v>47</v>
      </c>
      <c r="J53" s="13" t="s">
        <v>48</v>
      </c>
      <c r="K53" s="13"/>
    </row>
    <row r="54" spans="1:11" ht="12.75">
      <c r="A54" s="13"/>
      <c r="B54" s="13"/>
      <c r="C54" s="13" t="s">
        <v>17</v>
      </c>
      <c r="D54" s="13"/>
      <c r="E54" s="13">
        <f>+E4</f>
        <v>2015</v>
      </c>
      <c r="F54" s="13" t="s">
        <v>3</v>
      </c>
      <c r="G54" s="13">
        <f>+E4+1</f>
        <v>2016</v>
      </c>
      <c r="H54" s="13"/>
      <c r="I54" s="13"/>
      <c r="J54" s="13"/>
      <c r="K54" s="13"/>
    </row>
    <row r="55" spans="1:11" ht="12.75">
      <c r="A55" s="13"/>
      <c r="B55" s="13"/>
      <c r="C55" s="13"/>
      <c r="D55" s="13"/>
      <c r="E55" s="13"/>
      <c r="F55" s="13" t="s">
        <v>49</v>
      </c>
      <c r="G55" s="13"/>
      <c r="H55" s="13"/>
      <c r="I55" s="13" t="s">
        <v>50</v>
      </c>
      <c r="J55" s="13" t="s">
        <v>23</v>
      </c>
      <c r="K55" s="13"/>
    </row>
    <row r="56" spans="1:11" ht="12.75">
      <c r="A56" s="13" t="s">
        <v>63</v>
      </c>
      <c r="B56" s="13" t="s">
        <v>15</v>
      </c>
      <c r="C56" s="13" t="s">
        <v>19</v>
      </c>
      <c r="D56" s="13" t="s">
        <v>6</v>
      </c>
      <c r="E56" s="13" t="s">
        <v>20</v>
      </c>
      <c r="F56" s="13" t="s">
        <v>8</v>
      </c>
      <c r="G56" s="13" t="s">
        <v>68</v>
      </c>
      <c r="H56" s="13" t="s">
        <v>15</v>
      </c>
      <c r="I56" s="13" t="s">
        <v>51</v>
      </c>
      <c r="J56" s="13" t="s">
        <v>52</v>
      </c>
      <c r="K56" s="13"/>
    </row>
    <row r="57" spans="1:16" ht="12.75">
      <c r="A57">
        <v>1</v>
      </c>
      <c r="B57" t="str">
        <f>+E4&amp;"-"&amp;(E4+1)</f>
        <v>2015-2016</v>
      </c>
      <c r="C57" s="26">
        <f>+C7+C8+C9</f>
        <v>5780556.97</v>
      </c>
      <c r="D57" s="26">
        <f>+D7+D8+D9</f>
        <v>173416.70909999998</v>
      </c>
      <c r="E57" s="26">
        <f>+E7+E8+E9</f>
        <v>5607140.2609</v>
      </c>
      <c r="F57" s="34">
        <f>(F7+F8+F9)/P57</f>
        <v>0.11424031105836119</v>
      </c>
      <c r="G57">
        <f aca="true" t="shared" si="9" ref="G57:H60">+A57</f>
        <v>1</v>
      </c>
      <c r="H57" s="41" t="str">
        <f t="shared" si="9"/>
        <v>2015-2016</v>
      </c>
      <c r="I57" s="26">
        <f>+I7+I8+I9</f>
        <v>4766069.221765</v>
      </c>
      <c r="J57" s="26">
        <f>+J7+J8+J9</f>
        <v>841071.039135</v>
      </c>
      <c r="P57" s="43">
        <f>+P7+P8+P9</f>
        <v>3</v>
      </c>
    </row>
    <row r="58" spans="1:16" ht="12.75">
      <c r="A58">
        <v>2</v>
      </c>
      <c r="B58" t="str">
        <f>+B57</f>
        <v>2015-2016</v>
      </c>
      <c r="C58" s="26">
        <f>+C10+C11+C12</f>
        <v>6604635.2700000005</v>
      </c>
      <c r="D58" s="26">
        <f>+D10+D11+D12</f>
        <v>198139.05810000002</v>
      </c>
      <c r="E58" s="26">
        <f>+E10+E11+E12</f>
        <v>6406496.2119</v>
      </c>
      <c r="F58" s="34">
        <f>(F10+F11+F12)/P58</f>
        <v>0.024398890360991188</v>
      </c>
      <c r="G58">
        <f t="shared" si="9"/>
        <v>2</v>
      </c>
      <c r="H58" s="41" t="str">
        <f t="shared" si="9"/>
        <v>2015-2016</v>
      </c>
      <c r="I58" s="26">
        <f>+I10+I11+I12</f>
        <v>5445521.780115</v>
      </c>
      <c r="J58" s="26">
        <f>+J10+J11+J12</f>
        <v>960974.4317849999</v>
      </c>
      <c r="P58" s="43">
        <f>+P10+P11+P12</f>
        <v>3</v>
      </c>
    </row>
    <row r="59" spans="1:16" ht="12.75">
      <c r="A59">
        <v>3</v>
      </c>
      <c r="B59" t="str">
        <f>+B57</f>
        <v>2015-2016</v>
      </c>
      <c r="C59" s="26">
        <f>+C13+C14+C15</f>
        <v>6638479.19</v>
      </c>
      <c r="D59" s="26">
        <f>+D13+D14+D15</f>
        <v>199154.3757</v>
      </c>
      <c r="E59" s="26">
        <f>+E13+E14+E15</f>
        <v>6439324.8143</v>
      </c>
      <c r="F59" s="34">
        <f>(F13+F14+F15)/P59</f>
        <v>0.03807001864521298</v>
      </c>
      <c r="G59">
        <f t="shared" si="9"/>
        <v>3</v>
      </c>
      <c r="H59" s="41" t="str">
        <f t="shared" si="9"/>
        <v>2015-2016</v>
      </c>
      <c r="I59" s="26">
        <f>+I13+I14+I15</f>
        <v>5473426.092155</v>
      </c>
      <c r="J59" s="26">
        <f>+J13+J14+J15</f>
        <v>965898.722145</v>
      </c>
      <c r="P59" s="43">
        <f>+P13+P14+P15</f>
        <v>3</v>
      </c>
    </row>
    <row r="60" spans="1:16" ht="12.75">
      <c r="A60">
        <v>4</v>
      </c>
      <c r="B60" t="str">
        <f>+B57</f>
        <v>2015-2016</v>
      </c>
      <c r="C60" s="26">
        <f>+C16+C17+C18</f>
        <v>6166058.79</v>
      </c>
      <c r="D60" s="26">
        <f>+D16+D17+D18</f>
        <v>184981.76369999998</v>
      </c>
      <c r="E60" s="26">
        <f>+E16+E17+E18</f>
        <v>5981077.0263</v>
      </c>
      <c r="F60" s="34">
        <f>(F16+F17+F18)/P60</f>
        <v>0.08410178371983434</v>
      </c>
      <c r="G60">
        <f t="shared" si="9"/>
        <v>4</v>
      </c>
      <c r="H60" s="41" t="str">
        <f t="shared" si="9"/>
        <v>2015-2016</v>
      </c>
      <c r="I60" s="26">
        <f>+I16+I17+I18</f>
        <v>5083915.472355</v>
      </c>
      <c r="J60" s="26">
        <f>+J16+J17+J18</f>
        <v>897161.553945</v>
      </c>
      <c r="P60" s="43">
        <f>+P16+P17+P18</f>
        <v>3</v>
      </c>
    </row>
    <row r="61" spans="1:10" ht="12.75">
      <c r="A61" s="13" t="s">
        <v>61</v>
      </c>
      <c r="B61" s="13"/>
      <c r="C61" s="42">
        <f>SUM(C57:C60)</f>
        <v>25189730.22</v>
      </c>
      <c r="D61" s="42">
        <f>SUM(D57:D60)</f>
        <v>755691.9066</v>
      </c>
      <c r="E61" s="42">
        <f>SUM(E57:E60)</f>
        <v>24434038.3134</v>
      </c>
      <c r="F61" s="19">
        <f>+F19</f>
        <v>0.05815473974066432</v>
      </c>
      <c r="G61" s="13"/>
      <c r="H61" s="13"/>
      <c r="I61" s="42">
        <f>SUM(I57:I60)</f>
        <v>20768932.56639</v>
      </c>
      <c r="J61" s="42">
        <f>SUM(J57:J60)</f>
        <v>3665105.74701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39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22.57421875" style="0" customWidth="1"/>
    <col min="2" max="2" width="14.8515625" style="0" customWidth="1"/>
    <col min="3" max="3" width="14.28125" style="0" customWidth="1"/>
    <col min="4" max="4" width="15.421875" style="0" customWidth="1"/>
    <col min="5" max="5" width="25.140625" style="0" customWidth="1"/>
    <col min="6" max="6" width="12.57421875" style="0" customWidth="1"/>
    <col min="7" max="8" width="13.28125" style="0" customWidth="1"/>
    <col min="9" max="9" width="12.421875" style="0" customWidth="1"/>
    <col min="10" max="10" width="9.28125" style="0" bestFit="1" customWidth="1"/>
    <col min="17" max="22" width="9.28125" style="0" bestFit="1" customWidth="1"/>
  </cols>
  <sheetData>
    <row r="1" spans="1:28" s="72" customFormat="1" ht="43.5" customHeight="1">
      <c r="A1" s="66">
        <v>9</v>
      </c>
      <c r="B1" s="66">
        <v>2016</v>
      </c>
      <c r="C1" s="66">
        <v>2015</v>
      </c>
      <c r="D1" s="66">
        <v>2014</v>
      </c>
      <c r="E1" s="66">
        <v>5041110.13</v>
      </c>
      <c r="F1" s="66">
        <v>5026286.99</v>
      </c>
      <c r="G1" s="66">
        <v>4866067.7</v>
      </c>
      <c r="H1" s="66">
        <v>478522.63</v>
      </c>
      <c r="I1" s="66">
        <v>476005.87</v>
      </c>
      <c r="J1" s="66">
        <v>495115.44</v>
      </c>
      <c r="K1" s="66">
        <v>2445161.8500000015</v>
      </c>
      <c r="L1" s="66">
        <v>2422663.41</v>
      </c>
      <c r="M1" s="66">
        <v>2343723.2399999998</v>
      </c>
      <c r="N1" s="66">
        <v>1885011.46</v>
      </c>
      <c r="O1" s="66">
        <v>1880237.37</v>
      </c>
      <c r="P1" s="66">
        <v>1786260.76</v>
      </c>
      <c r="Q1" s="66">
        <v>1458035.43</v>
      </c>
      <c r="R1" s="66">
        <v>1337104.28</v>
      </c>
      <c r="S1" s="66">
        <v>1770238.51</v>
      </c>
      <c r="T1" s="66">
        <v>1249843.36</v>
      </c>
      <c r="U1" s="66">
        <v>1215123.43</v>
      </c>
      <c r="V1" s="66">
        <v>1210534.57</v>
      </c>
      <c r="W1" s="66" t="s">
        <v>78</v>
      </c>
      <c r="X1" s="66" t="s">
        <v>79</v>
      </c>
      <c r="Y1" s="66" t="s">
        <v>80</v>
      </c>
      <c r="Z1" s="66" t="s">
        <v>81</v>
      </c>
      <c r="AA1" s="66" t="s">
        <v>82</v>
      </c>
      <c r="AB1" s="66" t="s">
        <v>83</v>
      </c>
    </row>
    <row r="2" spans="1:29" ht="12.75">
      <c r="A2" s="73"/>
      <c r="B2" s="73"/>
      <c r="C2" s="73"/>
      <c r="D2" s="73"/>
      <c r="E2" s="73">
        <v>1</v>
      </c>
      <c r="F2" s="73">
        <v>2</v>
      </c>
      <c r="G2" s="73">
        <v>3</v>
      </c>
      <c r="H2" s="73">
        <v>4</v>
      </c>
      <c r="I2" s="73">
        <v>5</v>
      </c>
      <c r="J2" s="73">
        <v>6</v>
      </c>
      <c r="K2" s="73">
        <v>7</v>
      </c>
      <c r="L2" s="73">
        <v>8</v>
      </c>
      <c r="M2" s="73">
        <v>9</v>
      </c>
      <c r="N2" s="73">
        <v>10</v>
      </c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spans="1:23" ht="12.75">
      <c r="A3" s="21">
        <f>+T3</f>
        <v>245</v>
      </c>
      <c r="B3">
        <f>+B1</f>
        <v>2016</v>
      </c>
      <c r="C3">
        <f>+C1</f>
        <v>2015</v>
      </c>
      <c r="D3">
        <f>+D1</f>
        <v>2014</v>
      </c>
      <c r="F3">
        <f>+B1</f>
        <v>2016</v>
      </c>
      <c r="G3">
        <f>+C1</f>
        <v>2015</v>
      </c>
      <c r="H3">
        <f>+D1</f>
        <v>2014</v>
      </c>
      <c r="T3" s="21">
        <f>DATE(A2,$A$1,1)</f>
        <v>245</v>
      </c>
      <c r="U3" s="23">
        <f>DATE(B3,$A$1,1)</f>
        <v>42614</v>
      </c>
      <c r="V3" s="23">
        <f>DATE(C3,$A$1,1)</f>
        <v>42248</v>
      </c>
      <c r="W3" s="23">
        <f>DATE(D3,$A$1,1)</f>
        <v>41883</v>
      </c>
    </row>
    <row r="4" spans="1:8" ht="12.75">
      <c r="A4" s="24" t="s">
        <v>55</v>
      </c>
      <c r="B4" s="57">
        <f>+E1</f>
        <v>5041110.13</v>
      </c>
      <c r="C4" s="57">
        <f>+F1</f>
        <v>5026286.99</v>
      </c>
      <c r="D4" s="57">
        <f>+G1</f>
        <v>4866067.7</v>
      </c>
      <c r="E4" s="62" t="s">
        <v>58</v>
      </c>
      <c r="F4" s="59">
        <f>+H1</f>
        <v>478522.63</v>
      </c>
      <c r="G4" s="59">
        <f>+I1</f>
        <v>476005.87</v>
      </c>
      <c r="H4" s="59">
        <f>+J1</f>
        <v>495115.44</v>
      </c>
    </row>
    <row r="5" spans="1:8" ht="12.75">
      <c r="A5" s="24" t="s">
        <v>56</v>
      </c>
      <c r="B5" s="60">
        <f>+(B4/C4)-1</f>
        <v>0.002949123285138855</v>
      </c>
      <c r="C5" s="60"/>
      <c r="D5" s="60"/>
      <c r="E5" s="62" t="s">
        <v>56</v>
      </c>
      <c r="F5" s="60">
        <f>+(F4/G4)-1</f>
        <v>0.005287245722410905</v>
      </c>
      <c r="G5" s="71"/>
      <c r="H5" s="71"/>
    </row>
    <row r="6" spans="1:8" ht="12.75">
      <c r="A6" s="24" t="s">
        <v>57</v>
      </c>
      <c r="B6" s="58"/>
      <c r="C6" s="60">
        <f>+(B4/D4)-1</f>
        <v>0.03597204987509728</v>
      </c>
      <c r="D6" s="60"/>
      <c r="E6" s="62" t="s">
        <v>57</v>
      </c>
      <c r="F6" s="71"/>
      <c r="G6" s="60">
        <f>+(F4/H4)-1</f>
        <v>-0.03351301264206186</v>
      </c>
      <c r="H6" s="71"/>
    </row>
    <row r="7" spans="1:20" ht="12.75">
      <c r="A7" s="24" t="s">
        <v>60</v>
      </c>
      <c r="B7" s="58"/>
      <c r="C7" s="60"/>
      <c r="D7" s="60">
        <f>+(C4/D4)-1</f>
        <v>0.03292582427490687</v>
      </c>
      <c r="E7" s="62" t="s">
        <v>60</v>
      </c>
      <c r="F7" s="71"/>
      <c r="G7" s="71"/>
      <c r="H7" s="60">
        <f>+(G4/H4)-1</f>
        <v>-0.03859619081966015</v>
      </c>
      <c r="T7">
        <f>IF($A$1=5,"May","")</f>
      </c>
    </row>
    <row r="8" spans="1:20" ht="12.75">
      <c r="A8" s="24" t="s">
        <v>54</v>
      </c>
      <c r="B8" s="57">
        <f>+K1</f>
        <v>2445161.8500000015</v>
      </c>
      <c r="C8" s="57">
        <f>+L1</f>
        <v>2422663.41</v>
      </c>
      <c r="D8" s="57">
        <f>+M1</f>
        <v>2343723.2399999998</v>
      </c>
      <c r="E8" s="62" t="s">
        <v>59</v>
      </c>
      <c r="F8" s="57">
        <f>+N1</f>
        <v>1885011.46</v>
      </c>
      <c r="G8" s="57">
        <f>+O1</f>
        <v>1880237.37</v>
      </c>
      <c r="H8" s="57">
        <f>+P1</f>
        <v>1786260.76</v>
      </c>
      <c r="I8" s="25"/>
      <c r="T8">
        <f>IF($A$1=6,"June","")</f>
      </c>
    </row>
    <row r="9" spans="1:20" ht="12.75">
      <c r="A9" s="24" t="s">
        <v>56</v>
      </c>
      <c r="B9" s="60">
        <f>+(B8/C8)-1</f>
        <v>0.009286655301407043</v>
      </c>
      <c r="C9" s="60"/>
      <c r="D9" s="71"/>
      <c r="E9" s="62" t="s">
        <v>56</v>
      </c>
      <c r="F9" s="60">
        <f>+(F8/G8)-1</f>
        <v>0.0025390889874716827</v>
      </c>
      <c r="G9" s="71"/>
      <c r="H9" s="71"/>
      <c r="T9">
        <f>IF($A$1=7,"July","")</f>
      </c>
    </row>
    <row r="10" spans="1:20" ht="12.75">
      <c r="A10" s="24" t="s">
        <v>57</v>
      </c>
      <c r="B10" s="60"/>
      <c r="C10" s="60">
        <f>+(B8/D8)-1</f>
        <v>0.0432809677647783</v>
      </c>
      <c r="D10" s="71"/>
      <c r="E10" s="62" t="s">
        <v>57</v>
      </c>
      <c r="F10" s="71"/>
      <c r="G10" s="60">
        <f>+(F8/H8)-1</f>
        <v>0.055283473841747366</v>
      </c>
      <c r="H10" s="71"/>
      <c r="T10">
        <f>IF($A$1=8,"August","")</f>
      </c>
    </row>
    <row r="11" spans="1:20" ht="12.75">
      <c r="A11" s="24" t="s">
        <v>60</v>
      </c>
      <c r="B11" s="58"/>
      <c r="C11" s="60"/>
      <c r="D11" s="60">
        <f>+(C8/D8)-1</f>
        <v>0.03368152376216593</v>
      </c>
      <c r="E11" s="62" t="s">
        <v>60</v>
      </c>
      <c r="F11" s="71"/>
      <c r="G11" s="71"/>
      <c r="H11" s="60">
        <f>+(G8/H8)-1</f>
        <v>0.05261080134795115</v>
      </c>
      <c r="T11" t="str">
        <f>IF($A$1=9,"September","")</f>
        <v>September</v>
      </c>
    </row>
    <row r="12" spans="2:20" ht="12.75">
      <c r="B12" s="61"/>
      <c r="C12" s="61"/>
      <c r="D12" s="61"/>
      <c r="E12" s="61"/>
      <c r="F12" s="61"/>
      <c r="G12" s="61"/>
      <c r="H12" s="61"/>
      <c r="T12">
        <f>IF($A$1=10,"October","")</f>
      </c>
    </row>
    <row r="13" ht="12.75">
      <c r="T13">
        <f>IF($A$1=11,"November","")</f>
      </c>
    </row>
    <row r="14" spans="2:20" ht="12.75">
      <c r="B14" t="str">
        <f>+A4</f>
        <v>Convention Tax</v>
      </c>
      <c r="C14" t="str">
        <f>+A8</f>
        <v>Tourist Tax (Transient Taxes) </v>
      </c>
      <c r="D14" t="str">
        <f>+E4</f>
        <v>Tourist Tax (Food and Bev.)</v>
      </c>
      <c r="E14" t="str">
        <f>+E8</f>
        <v>Homeless Taxes</v>
      </c>
      <c r="F14" t="s">
        <v>61</v>
      </c>
      <c r="G14" t="s">
        <v>71</v>
      </c>
      <c r="H14" t="s">
        <v>72</v>
      </c>
      <c r="T14">
        <f>IF($A$1=12,"December","")</f>
      </c>
    </row>
    <row r="15" spans="1:8" ht="12.75">
      <c r="A15">
        <f>+B1</f>
        <v>2016</v>
      </c>
      <c r="B15" s="26">
        <f>+E1</f>
        <v>5041110.13</v>
      </c>
      <c r="C15" s="26">
        <f>+K1</f>
        <v>2445161.8500000015</v>
      </c>
      <c r="D15" s="26">
        <f>+H1</f>
        <v>478522.63</v>
      </c>
      <c r="E15" s="26">
        <f>+N1</f>
        <v>1885011.46</v>
      </c>
      <c r="F15" s="26">
        <f>SUM(B15:E15)</f>
        <v>9849806.07</v>
      </c>
      <c r="G15" s="26">
        <f>+B15+C15</f>
        <v>7486271.980000001</v>
      </c>
      <c r="H15" s="26">
        <f>+D15+E15</f>
        <v>2363534.09</v>
      </c>
    </row>
    <row r="16" spans="1:8" ht="12.75">
      <c r="A16">
        <f>+C3</f>
        <v>2015</v>
      </c>
      <c r="B16" s="26">
        <f>+F1</f>
        <v>5026286.99</v>
      </c>
      <c r="C16" s="26">
        <f>+L1</f>
        <v>2422663.41</v>
      </c>
      <c r="D16" s="26">
        <f>+I1</f>
        <v>476005.87</v>
      </c>
      <c r="E16" s="26">
        <f>+O1</f>
        <v>1880237.37</v>
      </c>
      <c r="F16" s="26">
        <f>SUM(B16:E16)</f>
        <v>9805193.64</v>
      </c>
      <c r="G16" s="26">
        <f>+B16+C16</f>
        <v>7448950.4</v>
      </c>
      <c r="H16" s="26">
        <f>+D16+E16</f>
        <v>2356243.24</v>
      </c>
    </row>
    <row r="17" spans="1:8" ht="12.75">
      <c r="A17" s="10">
        <f>+D3</f>
        <v>2014</v>
      </c>
      <c r="B17" s="26">
        <f>+G1</f>
        <v>4866067.7</v>
      </c>
      <c r="C17" s="26">
        <f>+M1</f>
        <v>2343723.2399999998</v>
      </c>
      <c r="D17" s="26">
        <f>+J1</f>
        <v>495115.44</v>
      </c>
      <c r="E17" s="26">
        <f>+P1</f>
        <v>1786260.76</v>
      </c>
      <c r="F17" s="26">
        <f>SUM(B17:E17)</f>
        <v>9491167.14</v>
      </c>
      <c r="G17" s="26">
        <f>+B17+C17</f>
        <v>7209790.9399999995</v>
      </c>
      <c r="H17" s="26">
        <f>+D17+E17</f>
        <v>2281376.2</v>
      </c>
    </row>
    <row r="39" spans="2:4" ht="12.75">
      <c r="B39" s="26"/>
      <c r="C39" s="26"/>
      <c r="D39" s="2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Owner</cp:lastModifiedBy>
  <cp:lastPrinted>2016-10-27T17:17:43Z</cp:lastPrinted>
  <dcterms:created xsi:type="dcterms:W3CDTF">1996-10-14T23:33:28Z</dcterms:created>
  <dcterms:modified xsi:type="dcterms:W3CDTF">2018-02-06T20:20:07Z</dcterms:modified>
  <cp:category/>
  <cp:version/>
  <cp:contentType/>
  <cp:contentStatus/>
</cp:coreProperties>
</file>