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4000" windowHeight="15435" tabRatio="941" activeTab="5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SlotMachineTable" sheetId="5" r:id="rId5"/>
    <sheet name="HomelessTaxTable" sheetId="6" r:id="rId6"/>
    <sheet name="MonthlyTotals" sheetId="7" r:id="rId7"/>
  </sheets>
  <externalReferences>
    <externalReference r:id="rId10"/>
  </externalReference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'MonthlyTotals'!$A$3:$H$11</definedName>
    <definedName name="_xlnm.Print_Area" localSheetId="0">'ConventionTaxTable'!$A$8:$H$8</definedName>
    <definedName name="_xlnm.Print_Area" localSheetId="3">'FoodandBeverageTaxTable'!$A$6:$C$15</definedName>
    <definedName name="_xlnm.Print_Area" localSheetId="5">'HomelessTaxTable'!$E$6:$E$18</definedName>
    <definedName name="_xlnm.Print_Area" localSheetId="6">'MonthlyTotals'!$A$3:$H$11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'MonthlyTotals'!$A$2:$H$12</definedName>
  </definedNames>
  <calcPr fullCalcOnLoad="1"/>
</workbook>
</file>

<file path=xl/sharedStrings.xml><?xml version="1.0" encoding="utf-8"?>
<sst xmlns="http://schemas.openxmlformats.org/spreadsheetml/2006/main" count="252" uniqueCount="87">
  <si>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</si>
  <si>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</si>
  <si>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</si>
  <si>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</si>
  <si>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</si>
  <si>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</si>
  <si>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</si>
  <si>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</si>
  <si>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</si>
  <si>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</si>
  <si>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</si>
  <si>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</si>
  <si>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</si>
  <si>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</si>
  <si>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</si>
  <si>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</si>
  <si>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</si>
  <si>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</si>
  <si>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</si>
  <si>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</si>
  <si>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</si>
  <si>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</si>
  <si>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</si>
  <si>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</si>
  <si>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</si>
  <si>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</si>
  <si>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</si>
  <si>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</si>
  <si>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</si>
  <si>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</si>
  <si>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</si>
  <si>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</si>
  <si>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</si>
  <si>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</si>
  <si>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</si>
  <si>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</si>
  <si>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</si>
  <si>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</si>
  <si>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</si>
  <si>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</si>
  <si>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</si>
  <si>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</si>
  <si>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</si>
  <si>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</si>
  <si>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</si>
  <si>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</si>
  <si>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</si>
  <si>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</si>
  <si>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</si>
  <si>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</si>
  <si>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</si>
  <si>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</si>
  <si>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</si>
  <si>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</si>
  <si>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 xml:space="preserve">Tourist Tax (Transient Taxes) </t>
  </si>
  <si>
    <t>Convention Tax</t>
  </si>
  <si>
    <t>This Year vs. Last Year</t>
  </si>
  <si>
    <t>This Year vs. Two Years Ago</t>
  </si>
  <si>
    <t>Tourist Tax (Food and Bev.)</t>
  </si>
  <si>
    <t>Homeless Taxes</t>
  </si>
  <si>
    <t>Last Year vs. Two Years Ago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</si>
  <si>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</si>
  <si>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</si>
  <si>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</si>
  <si>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</si>
  <si>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</si>
  <si>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</si>
  <si>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</si>
  <si>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</si>
  <si>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</si>
  <si>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</si>
  <si>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Rooms</t>
  </si>
  <si>
    <t>Food &amp; Bev</t>
  </si>
  <si>
    <t>.</t>
  </si>
  <si>
    <t>0.38%</t>
  </si>
  <si>
    <t>Metropolitan Dade County - Slot Machine Tax</t>
  </si>
  <si>
    <t xml:space="preserve">1 1/2 % Tax </t>
  </si>
  <si>
    <t>Fiscal Year</t>
  </si>
  <si>
    <t>Net Amount</t>
  </si>
  <si>
    <t>Net Collected</t>
  </si>
  <si>
    <t xml:space="preserve">Distribution to </t>
  </si>
  <si>
    <t>Subfund 162</t>
  </si>
  <si>
    <t>TDC Fixed</t>
  </si>
  <si>
    <t>Cultural Affiars</t>
  </si>
  <si>
    <t>Miami Dade</t>
  </si>
  <si>
    <t>Total Sub 152</t>
  </si>
  <si>
    <t>Minus County Support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</si>
</sst>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  <numFmt numFmtId="182" formatCode="#,##0.00000000000000"/>
    <numFmt numFmtId="183" formatCode="\$#,##0.00"/>
    <numFmt numFmtId="184" formatCode="#,##0.000000000000_);\(#,##0.000000000000\)"/>
    <numFmt numFmtId="185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name val="Arial"/>
      <family val="2"/>
    </font>
    <font>
      <sz val="23"/>
      <color indexed="8"/>
      <name val="Arial"/>
      <family val="0"/>
    </font>
    <font>
      <sz val="8.45"/>
      <color indexed="8"/>
      <name val="Arial"/>
      <family val="0"/>
    </font>
    <font>
      <sz val="19.5"/>
      <color indexed="8"/>
      <name val="Arial"/>
      <family val="0"/>
    </font>
    <font>
      <sz val="6.7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0.1"/>
      <color indexed="8"/>
      <name val="Arial"/>
      <family val="0"/>
    </font>
    <font>
      <sz val="20"/>
      <color indexed="8"/>
      <name val="Arial"/>
      <family val="0"/>
    </font>
    <font>
      <sz val="11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18.25"/>
      <color indexed="8"/>
      <name val="Arial"/>
      <family val="0"/>
    </font>
    <font>
      <sz val="21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2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b/>
      <sz val="21"/>
      <color indexed="8"/>
      <name val="Arial"/>
      <family val="0"/>
    </font>
    <font>
      <b/>
      <sz val="2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8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8" fontId="0" fillId="38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9" borderId="0" xfId="0" applyFill="1" applyAlignment="1">
      <alignment/>
    </xf>
    <xf numFmtId="8" fontId="0" fillId="39" borderId="0" xfId="0" applyNumberFormat="1" applyFill="1" applyAlignment="1">
      <alignment/>
    </xf>
    <xf numFmtId="10" fontId="0" fillId="39" borderId="0" xfId="0" applyNumberFormat="1" applyFill="1" applyAlignment="1">
      <alignment/>
    </xf>
    <xf numFmtId="10" fontId="0" fillId="38" borderId="0" xfId="0" applyNumberFormat="1" applyFill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40" borderId="10" xfId="0" applyFill="1" applyBorder="1" applyAlignment="1">
      <alignment/>
    </xf>
    <xf numFmtId="0" fontId="3" fillId="0" borderId="0" xfId="0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0" fillId="34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5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65" fontId="0" fillId="40" borderId="10" xfId="0" applyNumberFormat="1" applyFill="1" applyBorder="1" applyAlignment="1">
      <alignment/>
    </xf>
    <xf numFmtId="0" fontId="5" fillId="0" borderId="0" xfId="0" applyFont="1" applyAlignment="1">
      <alignment/>
    </xf>
    <xf numFmtId="165" fontId="0" fillId="3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40" borderId="11" xfId="0" applyFill="1" applyBorder="1" applyAlignment="1">
      <alignment/>
    </xf>
    <xf numFmtId="4" fontId="0" fillId="0" borderId="0" xfId="0" applyNumberForma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72" fillId="0" borderId="0" xfId="0" applyFont="1" applyAlignment="1">
      <alignment/>
    </xf>
    <xf numFmtId="167" fontId="72" fillId="0" borderId="0" xfId="0" applyNumberFormat="1" applyFont="1" applyAlignment="1">
      <alignment/>
    </xf>
    <xf numFmtId="169" fontId="72" fillId="0" borderId="0" xfId="0" applyNumberFormat="1" applyFont="1" applyAlignment="1">
      <alignment/>
    </xf>
    <xf numFmtId="166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164" fontId="72" fillId="0" borderId="0" xfId="0" applyNumberFormat="1" applyFont="1" applyAlignment="1">
      <alignment/>
    </xf>
    <xf numFmtId="0" fontId="73" fillId="0" borderId="0" xfId="0" applyFont="1" applyAlignment="1">
      <alignment/>
    </xf>
    <xf numFmtId="175" fontId="73" fillId="0" borderId="0" xfId="0" applyNumberFormat="1" applyFont="1" applyFill="1" applyAlignment="1">
      <alignment horizontal="right"/>
    </xf>
    <xf numFmtId="1" fontId="72" fillId="0" borderId="0" xfId="0" applyNumberFormat="1" applyFont="1" applyAlignment="1">
      <alignment/>
    </xf>
    <xf numFmtId="0" fontId="74" fillId="0" borderId="0" xfId="0" applyFont="1" applyAlignment="1">
      <alignment/>
    </xf>
    <xf numFmtId="167" fontId="74" fillId="0" borderId="0" xfId="0" applyNumberFormat="1" applyFont="1" applyAlignment="1">
      <alignment/>
    </xf>
    <xf numFmtId="169" fontId="74" fillId="0" borderId="0" xfId="0" applyNumberFormat="1" applyFont="1" applyAlignment="1">
      <alignment/>
    </xf>
    <xf numFmtId="166" fontId="74" fillId="0" borderId="0" xfId="0" applyNumberFormat="1" applyFont="1" applyAlignment="1">
      <alignment/>
    </xf>
    <xf numFmtId="175" fontId="74" fillId="0" borderId="0" xfId="0" applyNumberFormat="1" applyFont="1" applyAlignment="1">
      <alignment/>
    </xf>
    <xf numFmtId="10" fontId="74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166" fontId="9" fillId="37" borderId="0" xfId="0" applyNumberFormat="1" applyFont="1" applyFill="1" applyAlignment="1">
      <alignment/>
    </xf>
    <xf numFmtId="4" fontId="0" fillId="37" borderId="0" xfId="0" applyNumberFormat="1" applyFill="1" applyAlignment="1">
      <alignment/>
    </xf>
    <xf numFmtId="0" fontId="4" fillId="0" borderId="12" xfId="0" applyFont="1" applyFill="1" applyBorder="1" applyAlignment="1">
      <alignment horizontal="right"/>
    </xf>
    <xf numFmtId="175" fontId="4" fillId="0" borderId="12" xfId="0" applyNumberFormat="1" applyFont="1" applyFill="1" applyBorder="1" applyAlignment="1">
      <alignment horizontal="right"/>
    </xf>
    <xf numFmtId="175" fontId="72" fillId="0" borderId="0" xfId="0" applyNumberFormat="1" applyFont="1" applyFill="1" applyAlignment="1">
      <alignment horizontal="right"/>
    </xf>
    <xf numFmtId="175" fontId="7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 horizontal="right"/>
    </xf>
    <xf numFmtId="7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72" fillId="40" borderId="0" xfId="0" applyFont="1" applyFill="1" applyAlignment="1">
      <alignment/>
    </xf>
    <xf numFmtId="165" fontId="72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2" fillId="43" borderId="13" xfId="0" applyFont="1" applyFill="1" applyBorder="1" applyAlignment="1">
      <alignment horizontal="right"/>
    </xf>
    <xf numFmtId="0" fontId="0" fillId="43" borderId="0" xfId="0" applyFont="1" applyFill="1" applyAlignment="1">
      <alignment/>
    </xf>
    <xf numFmtId="0" fontId="0" fillId="33" borderId="0" xfId="0" applyFont="1" applyFill="1" applyAlignment="1">
      <alignment/>
    </xf>
    <xf numFmtId="184" fontId="7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16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0575"/>
          <c:w val="0.804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2016 - 2017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57256586"/>
        <c:axId val="45547227"/>
      </c:barChart>
      <c:date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554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04575"/>
          <c:w val="0.080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125"/>
          <c:w val="0.835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2016 - 2017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7271860"/>
        <c:axId val="65446741"/>
      </c:barChart>
      <c:date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544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6175"/>
          <c:w val="0.120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85"/>
          <c:w val="0.758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2016 - 2017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/>
            </c:strRef>
          </c:cat>
          <c:val>
            <c:numRef>
              <c:f>SportsTaxTable!$C$6:$C$17</c:f>
              <c:numCache/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/>
            </c:numRef>
          </c:val>
        </c:ser>
        <c:axId val="52149758"/>
        <c:axId val="66694639"/>
      </c:barChart>
      <c:date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36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06875"/>
          <c:w val="0.14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995"/>
          <c:w val="0.781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2016 - 2017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63380840"/>
        <c:axId val="33556649"/>
      </c:barChart>
      <c:date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03275"/>
          <c:w val="0.11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Slot Machine Collections</a:t>
            </a:r>
          </a:p>
        </c:rich>
      </c:tx>
      <c:layout>
        <c:manualLayout>
          <c:xMode val="factor"/>
          <c:yMode val="factor"/>
          <c:x val="0.008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25"/>
          <c:w val="0.856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SlotMachineTable!$C$4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SlotMachineTable!$P$6:$P$17</c:f>
              <c:strCache/>
            </c:strRef>
          </c:cat>
          <c:val>
            <c:numRef>
              <c:f>SlotMachineTable!$C$6:$C$17</c:f>
              <c:numCache/>
            </c:numRef>
          </c:val>
        </c:ser>
        <c:ser>
          <c:idx val="1"/>
          <c:order val="1"/>
          <c:tx>
            <c:strRef>
              <c:f>SlotMachineTable!$J$4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SlotMachineTable!$I$6:$I$17</c:f>
              <c:numCache/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mm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0"/>
        <c:lblOffset val="0"/>
        <c:tickLblSkip val="1"/>
        <c:noMultiLvlLbl val="0"/>
      </c:catAx>
      <c:valAx>
        <c:axId val="33734019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4475"/>
          <c:w val="0.120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45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23025"/>
          <c:w val="0.90575"/>
          <c:h val="0.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2016 - 2017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/>
            </c:strRef>
          </c:cat>
          <c:val>
            <c:numRef>
              <c:f>HomelessTaxTable!$C$7:$C$18</c:f>
              <c:numCache/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/>
            </c:numRef>
          </c:val>
        </c:ser>
        <c:axId val="35170716"/>
        <c:axId val="48100989"/>
      </c:barChart>
      <c:date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810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0315"/>
          <c:w val="0.095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Summary</a:t>
            </a:r>
          </a:p>
        </c:rich>
      </c:tx>
      <c:layout>
        <c:manualLayout>
          <c:xMode val="factor"/>
          <c:yMode val="factor"/>
          <c:x val="-0.00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085"/>
          <c:w val="0.8662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MonthlyTotals!$A$15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MonthlyTotals!$B$15:$H$15</c:f>
              <c:numCache/>
            </c:numRef>
          </c:val>
        </c:ser>
        <c:ser>
          <c:idx val="1"/>
          <c:order val="1"/>
          <c:tx>
            <c:strRef>
              <c:f>MonthlyTotals!$A$16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MonthlyTotals!$B$16:$H$16</c:f>
              <c:numCache/>
            </c:numRef>
          </c:val>
        </c:ser>
        <c:ser>
          <c:idx val="2"/>
          <c:order val="2"/>
          <c:tx>
            <c:strRef>
              <c:f>MonthlyTotals!$A$17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MonthlyTotals!$B$17:$H$17</c:f>
              <c:numCache/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Type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02975"/>
          <c:w val="0.145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107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8</xdr:col>
      <xdr:colOff>1009650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9525" y="665797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39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6838950"/>
        <a:ext cx="86106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28575</xdr:rowOff>
    </xdr:from>
    <xdr:to>
      <xdr:col>8</xdr:col>
      <xdr:colOff>257175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238125" y="3429000"/>
        <a:ext cx="7048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13</xdr:col>
      <xdr:colOff>457200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8575" y="3086100"/>
        <a:ext cx="10487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219075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419350"/>
        <a:ext cx="9248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TC-TaxCollec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tionTaxTable"/>
      <sheetName val="TouristTaxTable"/>
      <sheetName val="SportsTaxTable"/>
      <sheetName val="FoodandBeverageTaxTable"/>
      <sheetName val="SlotMachineTable"/>
      <sheetName val="HomelessTaxTable"/>
      <sheetName val="MonthlyTotals"/>
    </sheetNames>
    <definedNames>
      <definedName name="Macro4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68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2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62" bestFit="1" customWidth="1"/>
  </cols>
  <sheetData>
    <row r="1" spans="1:43" ht="12.75">
      <c r="A1" s="3"/>
      <c r="B1" s="3"/>
      <c r="C1" s="3" t="s">
        <v>0</v>
      </c>
      <c r="D1" s="3"/>
      <c r="E1" s="3"/>
      <c r="F1" s="3"/>
      <c r="G1" s="3"/>
      <c r="H1" s="3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>
        <f>+D3-1</f>
        <v>2015</v>
      </c>
      <c r="V1" s="68" t="s">
        <v>3</v>
      </c>
      <c r="W1" s="68">
        <f>+D3</f>
        <v>2016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3" ht="12.75">
      <c r="A2" s="3" t="s">
        <v>1</v>
      </c>
      <c r="B2" s="3"/>
      <c r="C2" s="3"/>
      <c r="D2" s="3"/>
      <c r="E2" s="3"/>
      <c r="F2" s="3"/>
      <c r="G2" s="3"/>
      <c r="H2" s="3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3" ht="12.75">
      <c r="A3" s="3" t="s">
        <v>2</v>
      </c>
      <c r="B3" s="3"/>
      <c r="C3" s="3"/>
      <c r="D3" s="3">
        <f>+B6</f>
        <v>2016</v>
      </c>
      <c r="E3" s="3" t="s">
        <v>3</v>
      </c>
      <c r="F3" s="3">
        <f>+B6+1</f>
        <v>2017</v>
      </c>
      <c r="G3" s="3"/>
      <c r="H3" s="3"/>
      <c r="I3" s="68"/>
      <c r="J3" s="68"/>
      <c r="K3" s="68"/>
      <c r="L3" s="68"/>
      <c r="M3" s="68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1:43" ht="12.75">
      <c r="A4" t="s">
        <v>4</v>
      </c>
      <c r="C4" t="s">
        <v>5</v>
      </c>
      <c r="D4" t="s">
        <v>6</v>
      </c>
      <c r="E4" t="s">
        <v>80</v>
      </c>
      <c r="F4" t="s">
        <v>8</v>
      </c>
      <c r="G4" t="s">
        <v>9</v>
      </c>
      <c r="I4" s="68"/>
      <c r="J4" s="68"/>
      <c r="K4" s="68"/>
      <c r="L4" s="68"/>
      <c r="M4" s="68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3" ht="12.75">
      <c r="A5" t="s">
        <v>14</v>
      </c>
      <c r="B5" t="s">
        <v>15</v>
      </c>
      <c r="E5" t="s">
        <v>81</v>
      </c>
      <c r="G5" t="s">
        <v>14</v>
      </c>
      <c r="H5" t="s">
        <v>15</v>
      </c>
      <c r="I5" s="68"/>
      <c r="J5" s="68"/>
      <c r="K5" s="68"/>
      <c r="L5" s="68"/>
      <c r="M5" s="68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ht="12.75">
      <c r="A6" s="42">
        <v>10</v>
      </c>
      <c r="B6" s="42">
        <v>2016</v>
      </c>
      <c r="C6" s="44">
        <v>4440379.46</v>
      </c>
      <c r="D6" s="44">
        <v>88807.5892</v>
      </c>
      <c r="E6" s="44">
        <v>4351571.8708</v>
      </c>
      <c r="F6" s="45">
        <v>0.005409822270394882</v>
      </c>
      <c r="G6" s="42">
        <v>11</v>
      </c>
      <c r="H6" s="42">
        <v>2016</v>
      </c>
      <c r="I6" s="69"/>
      <c r="J6" s="69"/>
      <c r="K6" s="69"/>
      <c r="L6" s="69"/>
      <c r="M6" s="68"/>
      <c r="N6" s="71"/>
      <c r="O6" s="71">
        <f>IF(A6&gt;0,1,0)</f>
        <v>1</v>
      </c>
      <c r="P6" s="72">
        <f>IF(O6=1,DATE(B6,A6,1),"")</f>
        <v>42644</v>
      </c>
      <c r="Q6" s="71"/>
      <c r="R6" s="71"/>
      <c r="S6" s="71"/>
      <c r="T6" s="73">
        <f>IF(O6=1,(F6+1),0)</f>
        <v>1.0054098222703949</v>
      </c>
      <c r="U6" s="74">
        <f>IF(O6=1,C6/T6,0)</f>
        <v>4416487.05</v>
      </c>
      <c r="V6" s="71"/>
      <c r="W6" s="71"/>
      <c r="X6" s="71"/>
      <c r="Y6" s="71"/>
      <c r="Z6" s="71"/>
      <c r="AA6" s="71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3" ht="12.75">
      <c r="A7" s="42">
        <v>11</v>
      </c>
      <c r="B7" s="42">
        <v>2016</v>
      </c>
      <c r="C7" s="44">
        <v>4912302.83</v>
      </c>
      <c r="D7" s="44">
        <v>98246.05660000001</v>
      </c>
      <c r="E7" s="44">
        <v>4814056.7734</v>
      </c>
      <c r="F7" s="45">
        <v>-0.042655152066832236</v>
      </c>
      <c r="G7" s="42">
        <v>12</v>
      </c>
      <c r="H7" s="42">
        <v>2016</v>
      </c>
      <c r="I7" s="69"/>
      <c r="J7" s="69"/>
      <c r="K7" s="69"/>
      <c r="L7" s="69"/>
      <c r="M7" s="68"/>
      <c r="N7" s="71"/>
      <c r="O7" s="71">
        <f aca="true" t="shared" si="0" ref="O7:O17">IF(A7&gt;0,1,0)</f>
        <v>1</v>
      </c>
      <c r="P7" s="72">
        <f aca="true" t="shared" si="1" ref="P7:P17">IF(O7=1,DATE(B7,A7,1)," ")</f>
        <v>42675</v>
      </c>
      <c r="Q7" s="71"/>
      <c r="R7" s="71"/>
      <c r="S7" s="71"/>
      <c r="T7" s="73">
        <f>IF(O7=1,(F7+1),0)</f>
        <v>0.9573448479331678</v>
      </c>
      <c r="U7" s="74">
        <f aca="true" t="shared" si="2" ref="U7:U17">IF(O7=1,C7/T7,0)</f>
        <v>5131173.83</v>
      </c>
      <c r="V7" s="71"/>
      <c r="W7" s="71"/>
      <c r="X7" s="71"/>
      <c r="Y7" s="71"/>
      <c r="Z7" s="71"/>
      <c r="AA7" s="71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43" ht="12.75">
      <c r="A8" s="42">
        <v>12</v>
      </c>
      <c r="B8" s="42">
        <v>2016</v>
      </c>
      <c r="C8" s="44">
        <v>6064783.57</v>
      </c>
      <c r="D8" s="44">
        <v>121295.6714</v>
      </c>
      <c r="E8" s="44">
        <v>5943487.8986</v>
      </c>
      <c r="F8" s="45">
        <v>-0.04202628247060969</v>
      </c>
      <c r="G8" s="42">
        <v>1</v>
      </c>
      <c r="H8" s="42">
        <v>2017</v>
      </c>
      <c r="I8" s="69"/>
      <c r="J8" s="69"/>
      <c r="K8" s="69"/>
      <c r="L8" s="69"/>
      <c r="M8" s="68"/>
      <c r="N8" s="71"/>
      <c r="O8" s="71">
        <f>IF(A8&gt;0,1,0)</f>
        <v>1</v>
      </c>
      <c r="P8" s="72">
        <f t="shared" si="1"/>
        <v>42705</v>
      </c>
      <c r="Q8" s="71"/>
      <c r="R8" s="71"/>
      <c r="S8" s="71"/>
      <c r="T8" s="73">
        <f aca="true" t="shared" si="3" ref="T8:T17">IF(O8=1,(F8+1),0)</f>
        <v>0.9579737175293903</v>
      </c>
      <c r="U8" s="74">
        <f t="shared" si="2"/>
        <v>6330845.47</v>
      </c>
      <c r="V8" s="71"/>
      <c r="W8" s="71"/>
      <c r="X8" s="71"/>
      <c r="Y8" s="71"/>
      <c r="Z8" s="71"/>
      <c r="AA8" s="71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spans="1:43" ht="12.75">
      <c r="A9" s="42">
        <v>1</v>
      </c>
      <c r="B9" s="42">
        <v>2017</v>
      </c>
      <c r="C9" s="44">
        <v>7387009.97</v>
      </c>
      <c r="D9" s="44">
        <v>147740.1994</v>
      </c>
      <c r="E9" s="44">
        <v>7239269.770599999</v>
      </c>
      <c r="F9" s="45">
        <v>-0.07762390114260276</v>
      </c>
      <c r="G9" s="42">
        <v>2</v>
      </c>
      <c r="H9" s="42">
        <v>2017</v>
      </c>
      <c r="I9" s="69"/>
      <c r="J9" s="69"/>
      <c r="K9" s="69"/>
      <c r="L9" s="69"/>
      <c r="M9" s="68"/>
      <c r="N9" s="71"/>
      <c r="O9" s="71">
        <f t="shared" si="0"/>
        <v>1</v>
      </c>
      <c r="P9" s="72">
        <f t="shared" si="1"/>
        <v>42736</v>
      </c>
      <c r="Q9" s="71"/>
      <c r="R9" s="71"/>
      <c r="S9" s="71"/>
      <c r="T9" s="73">
        <f t="shared" si="3"/>
        <v>0.9223760988573972</v>
      </c>
      <c r="U9" s="74">
        <f t="shared" si="2"/>
        <v>8008674.53</v>
      </c>
      <c r="V9" s="71"/>
      <c r="W9" s="71"/>
      <c r="X9" s="71"/>
      <c r="Y9" s="71"/>
      <c r="Z9" s="71"/>
      <c r="AA9" s="71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</row>
    <row r="10" spans="1:43" ht="12.75">
      <c r="A10" s="42">
        <v>2</v>
      </c>
      <c r="B10" s="42">
        <v>2017</v>
      </c>
      <c r="C10" s="44">
        <v>7592109.65</v>
      </c>
      <c r="D10" s="44">
        <v>151842.193</v>
      </c>
      <c r="E10" s="44">
        <v>7440267.457</v>
      </c>
      <c r="F10" s="45">
        <v>-0.1280836266252504</v>
      </c>
      <c r="G10" s="42">
        <v>3</v>
      </c>
      <c r="H10" s="42">
        <v>2017</v>
      </c>
      <c r="I10" s="69"/>
      <c r="J10" s="69"/>
      <c r="K10" s="69"/>
      <c r="L10" s="69"/>
      <c r="M10" s="68"/>
      <c r="N10" s="71"/>
      <c r="O10" s="71">
        <f t="shared" si="0"/>
        <v>1</v>
      </c>
      <c r="P10" s="72">
        <f t="shared" si="1"/>
        <v>42767</v>
      </c>
      <c r="Q10" s="71"/>
      <c r="R10" s="71"/>
      <c r="S10" s="71"/>
      <c r="T10" s="73">
        <f t="shared" si="3"/>
        <v>0.8719163733747496</v>
      </c>
      <c r="U10" s="74">
        <f t="shared" si="2"/>
        <v>8707382.82</v>
      </c>
      <c r="V10" s="71"/>
      <c r="W10" s="71"/>
      <c r="X10" s="71"/>
      <c r="Y10" s="71"/>
      <c r="Z10" s="71"/>
      <c r="AA10" s="71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ht="12.75">
      <c r="A11" s="42">
        <v>3</v>
      </c>
      <c r="B11" s="42">
        <v>2017</v>
      </c>
      <c r="C11" s="44">
        <v>8385823.74</v>
      </c>
      <c r="D11" s="44">
        <v>167716.4748</v>
      </c>
      <c r="E11" s="44">
        <v>8218107.2652</v>
      </c>
      <c r="F11" s="45">
        <v>-0.055578155947453745</v>
      </c>
      <c r="G11" s="42">
        <v>4</v>
      </c>
      <c r="H11" s="42">
        <v>2017</v>
      </c>
      <c r="I11" s="69"/>
      <c r="J11" s="69"/>
      <c r="K11" s="69"/>
      <c r="L11" s="69"/>
      <c r="M11" s="68"/>
      <c r="N11" s="75"/>
      <c r="O11" s="71">
        <f t="shared" si="0"/>
        <v>1</v>
      </c>
      <c r="P11" s="72">
        <f t="shared" si="1"/>
        <v>42795</v>
      </c>
      <c r="Q11" s="71"/>
      <c r="R11" s="71"/>
      <c r="S11" s="71"/>
      <c r="T11" s="73">
        <f t="shared" si="3"/>
        <v>0.9444218440525463</v>
      </c>
      <c r="U11" s="74">
        <f t="shared" si="2"/>
        <v>8879319.97</v>
      </c>
      <c r="V11" s="71"/>
      <c r="W11" s="71"/>
      <c r="X11" s="71"/>
      <c r="Y11" s="71"/>
      <c r="Z11" s="71"/>
      <c r="AA11" s="71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43" ht="12.75">
      <c r="A12" s="98">
        <v>4</v>
      </c>
      <c r="B12" s="98">
        <v>2017</v>
      </c>
      <c r="C12" s="26">
        <v>9199130.05</v>
      </c>
      <c r="D12" s="26">
        <v>183982.60100000002</v>
      </c>
      <c r="E12" s="26">
        <v>9015147.449000001</v>
      </c>
      <c r="F12" s="27">
        <v>-0.04056252595608534</v>
      </c>
      <c r="G12" s="98">
        <v>5</v>
      </c>
      <c r="H12" s="98">
        <v>2017</v>
      </c>
      <c r="I12" s="69"/>
      <c r="J12" s="69"/>
      <c r="K12" s="69"/>
      <c r="L12" s="69"/>
      <c r="M12" s="68"/>
      <c r="N12" s="71"/>
      <c r="O12" s="71">
        <f t="shared" si="0"/>
        <v>1</v>
      </c>
      <c r="P12" s="72">
        <f t="shared" si="1"/>
        <v>42826</v>
      </c>
      <c r="Q12" s="71"/>
      <c r="R12" s="71"/>
      <c r="S12" s="71"/>
      <c r="T12" s="73">
        <f t="shared" si="3"/>
        <v>0.9594374740439147</v>
      </c>
      <c r="U12" s="74">
        <f t="shared" si="2"/>
        <v>9588045.39</v>
      </c>
      <c r="V12" s="71"/>
      <c r="W12" s="71"/>
      <c r="X12" s="71"/>
      <c r="Y12" s="71"/>
      <c r="Z12" s="71"/>
      <c r="AA12" s="71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1:43" ht="12.75">
      <c r="A13" s="42">
        <v>5</v>
      </c>
      <c r="B13" s="42">
        <v>2017</v>
      </c>
      <c r="C13" s="44">
        <v>7728954.63</v>
      </c>
      <c r="D13" s="44">
        <v>154579.0926</v>
      </c>
      <c r="E13" s="44">
        <v>7574375.5374</v>
      </c>
      <c r="F13" s="45">
        <v>0.06328485610054702</v>
      </c>
      <c r="G13" s="42">
        <v>6</v>
      </c>
      <c r="H13" s="42">
        <v>2017</v>
      </c>
      <c r="I13" s="69"/>
      <c r="J13" s="69"/>
      <c r="K13" s="69"/>
      <c r="L13" s="69"/>
      <c r="M13" s="68"/>
      <c r="N13" s="71"/>
      <c r="O13" s="71">
        <f t="shared" si="0"/>
        <v>1</v>
      </c>
      <c r="P13" s="72">
        <f t="shared" si="1"/>
        <v>42856</v>
      </c>
      <c r="Q13" s="71"/>
      <c r="R13" s="71"/>
      <c r="S13" s="71"/>
      <c r="T13" s="73">
        <f t="shared" si="3"/>
        <v>1.063284856100547</v>
      </c>
      <c r="U13" s="74">
        <f t="shared" si="2"/>
        <v>7268940.759999999</v>
      </c>
      <c r="V13" s="71"/>
      <c r="W13" s="71"/>
      <c r="X13" s="71"/>
      <c r="Y13" s="71"/>
      <c r="Z13" s="71"/>
      <c r="AA13" s="71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</row>
    <row r="14" spans="1:43" ht="12.75">
      <c r="A14" s="42">
        <v>6</v>
      </c>
      <c r="B14" s="42">
        <v>2017</v>
      </c>
      <c r="C14" s="44">
        <v>6577475.43</v>
      </c>
      <c r="D14" s="44">
        <v>131549.5086</v>
      </c>
      <c r="E14" s="44">
        <v>6445925.921399999</v>
      </c>
      <c r="F14" s="45">
        <v>0.06521434522318725</v>
      </c>
      <c r="G14" s="42">
        <v>7</v>
      </c>
      <c r="H14" s="42">
        <v>2017</v>
      </c>
      <c r="I14" s="69"/>
      <c r="J14" s="69"/>
      <c r="K14" s="69"/>
      <c r="L14" s="69"/>
      <c r="M14" s="68"/>
      <c r="N14" s="71"/>
      <c r="O14" s="71">
        <f t="shared" si="0"/>
        <v>1</v>
      </c>
      <c r="P14" s="72">
        <f t="shared" si="1"/>
        <v>42887</v>
      </c>
      <c r="Q14" s="71"/>
      <c r="R14" s="71"/>
      <c r="S14" s="76">
        <f>(F6+F7+F8+F9+F10+F11+F12+F13+F14+F15+F16+F17)/O18</f>
        <v>0.006891907176645544</v>
      </c>
      <c r="T14" s="73">
        <f t="shared" si="3"/>
        <v>1.0652143452231873</v>
      </c>
      <c r="U14" s="74">
        <f t="shared" si="2"/>
        <v>6174790.509999999</v>
      </c>
      <c r="V14" s="71"/>
      <c r="W14" s="71"/>
      <c r="X14" s="71"/>
      <c r="Y14" s="71"/>
      <c r="Z14" s="71"/>
      <c r="AA14" s="71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</row>
    <row r="15" spans="1:43" ht="12.75">
      <c r="A15" s="42">
        <v>7</v>
      </c>
      <c r="B15" s="42">
        <v>2017</v>
      </c>
      <c r="C15" s="44">
        <v>5413517.62</v>
      </c>
      <c r="D15" s="44">
        <v>108270.3524</v>
      </c>
      <c r="E15" s="44">
        <v>5305247.2676</v>
      </c>
      <c r="F15" s="45">
        <v>0.11874038942413012</v>
      </c>
      <c r="G15" s="42">
        <v>8</v>
      </c>
      <c r="H15" s="42">
        <v>2017</v>
      </c>
      <c r="I15" s="69"/>
      <c r="J15" s="69"/>
      <c r="K15" s="69"/>
      <c r="L15" s="69"/>
      <c r="M15" s="68"/>
      <c r="N15" s="71"/>
      <c r="O15" s="71">
        <f t="shared" si="0"/>
        <v>1</v>
      </c>
      <c r="P15" s="72">
        <f t="shared" si="1"/>
        <v>42917</v>
      </c>
      <c r="Q15" s="71"/>
      <c r="R15" s="71"/>
      <c r="S15" s="71"/>
      <c r="T15" s="73">
        <f t="shared" si="3"/>
        <v>1.1187403894241301</v>
      </c>
      <c r="U15" s="74">
        <f t="shared" si="2"/>
        <v>4838940</v>
      </c>
      <c r="V15" s="71"/>
      <c r="W15" s="71"/>
      <c r="X15" s="71"/>
      <c r="Y15" s="71"/>
      <c r="Z15" s="71"/>
      <c r="AA15" s="71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</row>
    <row r="16" spans="1:43" ht="12.75">
      <c r="A16" s="42">
        <v>8</v>
      </c>
      <c r="B16" s="42">
        <v>2017</v>
      </c>
      <c r="C16" s="44">
        <v>6615521.52</v>
      </c>
      <c r="D16" s="44">
        <v>132310.43039999998</v>
      </c>
      <c r="E16" s="44">
        <v>6483211.0896</v>
      </c>
      <c r="F16" s="45">
        <v>0.1321090116037673</v>
      </c>
      <c r="G16" s="42">
        <v>9</v>
      </c>
      <c r="H16" s="42">
        <v>2017</v>
      </c>
      <c r="I16" s="69"/>
      <c r="J16" s="69"/>
      <c r="K16" s="69"/>
      <c r="L16" s="69"/>
      <c r="M16" s="68"/>
      <c r="N16" s="71"/>
      <c r="O16" s="71">
        <f t="shared" si="0"/>
        <v>1</v>
      </c>
      <c r="P16" s="72">
        <f t="shared" si="1"/>
        <v>42948</v>
      </c>
      <c r="Q16" s="71"/>
      <c r="R16" s="71"/>
      <c r="S16" s="71"/>
      <c r="T16" s="73">
        <f t="shared" si="3"/>
        <v>1.1321090116037673</v>
      </c>
      <c r="U16" s="74">
        <f t="shared" si="2"/>
        <v>5843537.55</v>
      </c>
      <c r="V16" s="71"/>
      <c r="W16" s="71"/>
      <c r="X16" s="71"/>
      <c r="Y16" s="71"/>
      <c r="Z16" s="71"/>
      <c r="AA16" s="71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</row>
    <row r="17" spans="1:43" ht="12.75">
      <c r="A17" s="56">
        <v>9</v>
      </c>
      <c r="B17" s="57">
        <v>2017</v>
      </c>
      <c r="C17" s="58">
        <v>5466953.4</v>
      </c>
      <c r="D17" s="58">
        <v>109339.06800000001</v>
      </c>
      <c r="E17" s="58">
        <v>5357614.332</v>
      </c>
      <c r="F17" s="45">
        <v>0.08447410570655411</v>
      </c>
      <c r="G17" s="56">
        <v>10</v>
      </c>
      <c r="H17" s="57">
        <v>2017</v>
      </c>
      <c r="I17" s="69"/>
      <c r="J17" s="69"/>
      <c r="K17" s="69"/>
      <c r="L17" s="69"/>
      <c r="M17" s="68"/>
      <c r="N17" s="71"/>
      <c r="O17" s="71">
        <f t="shared" si="0"/>
        <v>1</v>
      </c>
      <c r="P17" s="72">
        <f t="shared" si="1"/>
        <v>42979</v>
      </c>
      <c r="Q17" s="71"/>
      <c r="R17" s="71"/>
      <c r="S17" s="71"/>
      <c r="T17" s="73">
        <f t="shared" si="3"/>
        <v>1.0844741057065541</v>
      </c>
      <c r="U17" s="74">
        <f t="shared" si="2"/>
        <v>5041110.13</v>
      </c>
      <c r="V17" s="71"/>
      <c r="W17" s="71"/>
      <c r="X17" s="71"/>
      <c r="Y17" s="71"/>
      <c r="Z17" s="71"/>
      <c r="AA17" s="71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8" spans="1:43" ht="12.75">
      <c r="A18" s="4"/>
      <c r="B18" s="4"/>
      <c r="C18" s="5">
        <f>SUM(C6:C17)</f>
        <v>79783961.87</v>
      </c>
      <c r="D18" s="5">
        <f>SUM(D6:D17)</f>
        <v>1595679.2374</v>
      </c>
      <c r="E18" s="5">
        <f>SUM(E6:E17)</f>
        <v>78188282.63260001</v>
      </c>
      <c r="F18" s="6">
        <f>(C18/U18)-1</f>
        <v>-0.005550172175918688</v>
      </c>
      <c r="G18" s="4"/>
      <c r="H18" s="4"/>
      <c r="I18" s="69"/>
      <c r="J18" s="69"/>
      <c r="K18" s="69"/>
      <c r="L18" s="69"/>
      <c r="M18" s="68"/>
      <c r="N18" s="71"/>
      <c r="O18" s="77">
        <f>SUM(O6:O17)</f>
        <v>12</v>
      </c>
      <c r="P18" s="71"/>
      <c r="Q18" s="71"/>
      <c r="R18" s="71"/>
      <c r="S18" s="71"/>
      <c r="T18" s="78"/>
      <c r="U18" s="74">
        <f>SUM(U6:U17)</f>
        <v>80229248.00999999</v>
      </c>
      <c r="V18" s="71"/>
      <c r="W18" s="71"/>
      <c r="X18" s="71"/>
      <c r="Y18" s="71"/>
      <c r="Z18" s="71"/>
      <c r="AA18" s="71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</row>
    <row r="19" spans="3:43" ht="12.75">
      <c r="C19" s="23"/>
      <c r="I19" s="68"/>
      <c r="J19" s="68"/>
      <c r="K19" s="68"/>
      <c r="L19" s="68"/>
      <c r="M19" s="68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</row>
    <row r="20" spans="9:43" ht="12.75">
      <c r="I20" s="68"/>
      <c r="J20" s="68"/>
      <c r="K20" s="68"/>
      <c r="L20" s="68"/>
      <c r="M20" s="68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</row>
    <row r="21" spans="9:43" ht="12.75">
      <c r="I21" s="68"/>
      <c r="J21" s="68"/>
      <c r="K21" s="68"/>
      <c r="L21" s="68"/>
      <c r="M21" s="68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</row>
    <row r="22" spans="9:43" ht="12.75">
      <c r="I22" s="68"/>
      <c r="J22" s="68"/>
      <c r="K22" s="68"/>
      <c r="L22" s="68"/>
      <c r="M22" s="68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</row>
    <row r="23" spans="9:43" ht="12.75">
      <c r="I23" s="68"/>
      <c r="J23" s="68"/>
      <c r="K23" s="68"/>
      <c r="L23" s="68"/>
      <c r="M23" s="68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</row>
    <row r="24" spans="9:43" ht="12.7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</row>
    <row r="25" spans="9:43" ht="12.75"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</row>
    <row r="26" spans="9:43" ht="12.75"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</row>
    <row r="27" spans="9:43" ht="12.75"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</row>
    <row r="28" spans="9:43" ht="12.75"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</row>
    <row r="29" spans="9:43" ht="12.75"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</row>
    <row r="30" spans="9:43" ht="12.75"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</row>
    <row r="31" spans="9:43" ht="12.75"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</row>
    <row r="32" spans="9:43" ht="12.75"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</row>
    <row r="33" spans="9:43" ht="12.75"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</row>
    <row r="34" spans="9:43" ht="12.75"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9:43" ht="12.75"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</row>
    <row r="36" spans="9:43" ht="12.75"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</row>
    <row r="37" spans="9:43" ht="12.75"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</row>
    <row r="38" spans="9:43" ht="12.75"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</row>
    <row r="39" spans="9:43" ht="12.75"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</row>
    <row r="40" spans="9:43" ht="12.75"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</row>
    <row r="41" spans="9:43" ht="12.75"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</row>
    <row r="48" ht="12.75">
      <c r="C48" s="41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 t="s">
        <v>2</v>
      </c>
      <c r="B53" s="3"/>
      <c r="C53" s="3"/>
      <c r="D53" s="3" t="str">
        <f>+B56</f>
        <v>2016-2017</v>
      </c>
      <c r="E53" s="3" t="s">
        <v>64</v>
      </c>
      <c r="F53" s="3"/>
      <c r="G53" s="3"/>
      <c r="H53" s="3"/>
      <c r="I53" s="3"/>
      <c r="J53" s="3"/>
      <c r="K53" s="3"/>
      <c r="L53" s="3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5">
        <v>1</v>
      </c>
      <c r="B56" t="str">
        <f>+D3&amp;"-"&amp;(D3+1)</f>
        <v>2016-2017</v>
      </c>
      <c r="C56" s="26">
        <f>+C6+C7+C8</f>
        <v>15417465.86</v>
      </c>
      <c r="D56" s="26">
        <f>+D6+D7+D8</f>
        <v>308349.3172</v>
      </c>
      <c r="E56" s="26">
        <f>+E6+E7+E8</f>
        <v>15109116.542800002</v>
      </c>
      <c r="F56" s="27">
        <f>(F6+F7+F8)/O56</f>
        <v>-0.02642387075568235</v>
      </c>
      <c r="G56" s="25">
        <v>1</v>
      </c>
      <c r="H56" t="str">
        <f>+$B$56</f>
        <v>2016-2017</v>
      </c>
      <c r="I56" s="26">
        <f>+I6+I7+I8</f>
        <v>0</v>
      </c>
      <c r="J56" s="26">
        <f>+J6+J7+J8</f>
        <v>0</v>
      </c>
      <c r="K56" s="26">
        <f>+K6+K7+K8</f>
        <v>0</v>
      </c>
      <c r="L56" s="26">
        <f>+L6+L7+L8</f>
        <v>0</v>
      </c>
      <c r="O56" s="28">
        <f>+O6+O7+O8</f>
        <v>3</v>
      </c>
    </row>
    <row r="57" spans="1:15" ht="12.75">
      <c r="A57" s="25">
        <v>2</v>
      </c>
      <c r="B57" t="str">
        <f>+$B$56</f>
        <v>2016-2017</v>
      </c>
      <c r="C57" s="26">
        <f>+C9+C10+C11</f>
        <v>23364943.36</v>
      </c>
      <c r="D57" s="26">
        <f>+D9+D10+D11</f>
        <v>467298.8672</v>
      </c>
      <c r="E57" s="26">
        <f>+E9+E10+E11</f>
        <v>22897644.4928</v>
      </c>
      <c r="F57" s="27">
        <f>(F7+F8+F9)/O57</f>
        <v>-0.05410177856001489</v>
      </c>
      <c r="G57" s="25">
        <v>2</v>
      </c>
      <c r="H57" t="str">
        <f>+$B$56</f>
        <v>2016-2017</v>
      </c>
      <c r="I57" s="26">
        <f>+I9+I10+I11</f>
        <v>0</v>
      </c>
      <c r="J57" s="26">
        <v>0</v>
      </c>
      <c r="K57" s="26">
        <f>+K9+K10+K11</f>
        <v>0</v>
      </c>
      <c r="L57" s="26">
        <f>+L9+L10+L11</f>
        <v>0</v>
      </c>
      <c r="O57" s="28">
        <f>+O9+O10+O11</f>
        <v>3</v>
      </c>
    </row>
    <row r="58" spans="1:15" ht="12.75">
      <c r="A58" s="25">
        <v>3</v>
      </c>
      <c r="B58" t="str">
        <f>+$B$56</f>
        <v>2016-2017</v>
      </c>
      <c r="C58" s="26">
        <f>+C12+C13+C14</f>
        <v>23505560.11</v>
      </c>
      <c r="D58" s="26">
        <f>+D12+D13+D14</f>
        <v>470111.2022</v>
      </c>
      <c r="E58" s="26">
        <f>+E12+E13+E14</f>
        <v>23035448.9078</v>
      </c>
      <c r="F58" s="27">
        <f>(F8+F9+F10)/O58</f>
        <v>-0.08257793674615428</v>
      </c>
      <c r="G58" s="25">
        <v>3</v>
      </c>
      <c r="H58" t="str">
        <f>+$B$56</f>
        <v>2016-2017</v>
      </c>
      <c r="I58" s="26">
        <f>+I12+I13+I14</f>
        <v>0</v>
      </c>
      <c r="J58" s="26">
        <f>+J12+J13+J14</f>
        <v>0</v>
      </c>
      <c r="K58" s="26">
        <f>+K12+K13+K14</f>
        <v>0</v>
      </c>
      <c r="L58" s="26">
        <f>+L12+L13+L14</f>
        <v>0</v>
      </c>
      <c r="O58" s="28">
        <f>+O12+O13+O14</f>
        <v>3</v>
      </c>
    </row>
    <row r="59" spans="1:15" ht="12.75">
      <c r="A59" s="25">
        <v>4</v>
      </c>
      <c r="B59" t="str">
        <f>+$B$56</f>
        <v>2016-2017</v>
      </c>
      <c r="C59" s="26">
        <f>+C15+C16+C17</f>
        <v>17495992.54</v>
      </c>
      <c r="D59" s="26">
        <f>+D15+D16+D17</f>
        <v>349919.8508</v>
      </c>
      <c r="E59" s="26">
        <f>+E15+E16+E17</f>
        <v>17146072.6892</v>
      </c>
      <c r="F59" s="27">
        <f>(F9+F10+F11)/O59</f>
        <v>-0.08709522790510231</v>
      </c>
      <c r="G59" s="25">
        <v>4</v>
      </c>
      <c r="H59" t="str">
        <f>+$B$56</f>
        <v>2016-2017</v>
      </c>
      <c r="I59" s="26">
        <f>+I15+I16+I17</f>
        <v>0</v>
      </c>
      <c r="J59" s="26">
        <v>0</v>
      </c>
      <c r="K59" s="26">
        <f>+K15+K16+K17</f>
        <v>0</v>
      </c>
      <c r="L59" s="26">
        <f>+L15+L16+L17</f>
        <v>0</v>
      </c>
      <c r="O59" s="28">
        <f>+O15+O16+O17</f>
        <v>3</v>
      </c>
    </row>
    <row r="60" spans="1:12" ht="12.75">
      <c r="A60" s="4"/>
      <c r="B60" s="4"/>
      <c r="C60" s="5">
        <f>SUM(C48:C59)</f>
        <v>79783961.87</v>
      </c>
      <c r="D60" s="5">
        <f>SUM(D48:D59)</f>
        <v>1595679.2374</v>
      </c>
      <c r="E60" s="5">
        <f>SUM(E48:E59)</f>
        <v>78188282.63260001</v>
      </c>
      <c r="F60" s="6">
        <f>+F18</f>
        <v>-0.005550172175918688</v>
      </c>
      <c r="G60" s="4"/>
      <c r="H60" s="4"/>
      <c r="I60" s="5">
        <f>SUM(I48:I59)</f>
        <v>0</v>
      </c>
      <c r="J60" s="5">
        <f>SUM(J48:J59)</f>
        <v>0</v>
      </c>
      <c r="K60" s="5">
        <f>SUM(K48:K59)</f>
        <v>0</v>
      </c>
      <c r="L60" s="5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4"/>
      <c r="B68" s="4"/>
      <c r="C68" s="5"/>
      <c r="D68" s="5"/>
      <c r="E68" s="5"/>
      <c r="F68" s="6"/>
      <c r="G68" s="4"/>
      <c r="H68" s="4"/>
      <c r="I68" s="5"/>
      <c r="J68" s="5"/>
      <c r="K68" s="5"/>
      <c r="L68" s="5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94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21.00390625" style="0" customWidth="1"/>
    <col min="11" max="11" width="14.140625" style="43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11" ht="12.75">
      <c r="A1" s="11"/>
      <c r="B1" s="11"/>
      <c r="C1" s="11" t="s">
        <v>24</v>
      </c>
      <c r="D1" s="11"/>
      <c r="E1" s="11"/>
      <c r="F1" s="11"/>
      <c r="G1" s="11"/>
      <c r="H1" s="11"/>
      <c r="I1" s="11"/>
      <c r="J1" s="11"/>
      <c r="K1" s="11"/>
    </row>
    <row r="2" spans="1:35" ht="12.75">
      <c r="A2" s="11"/>
      <c r="B2" s="11"/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62"/>
      <c r="M2" s="62"/>
      <c r="N2" s="62">
        <f>+D3-1</f>
        <v>2015</v>
      </c>
      <c r="O2" s="62" t="s">
        <v>3</v>
      </c>
      <c r="P2" s="62">
        <f>+D3</f>
        <v>2016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2.75">
      <c r="A3" s="11"/>
      <c r="B3" s="11"/>
      <c r="C3" s="11" t="s">
        <v>26</v>
      </c>
      <c r="D3" s="11">
        <f>+B6</f>
        <v>2016</v>
      </c>
      <c r="E3" s="11" t="s">
        <v>3</v>
      </c>
      <c r="F3" s="11">
        <f>+D3+1</f>
        <v>2017</v>
      </c>
      <c r="G3" s="11"/>
      <c r="H3" s="11"/>
      <c r="I3" s="11"/>
      <c r="J3" s="11"/>
      <c r="K3" s="11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12.75">
      <c r="A4" s="11"/>
      <c r="B4" s="11" t="s">
        <v>4</v>
      </c>
      <c r="C4" s="11" t="s">
        <v>19</v>
      </c>
      <c r="D4" s="11" t="s">
        <v>27</v>
      </c>
      <c r="E4" s="11" t="s">
        <v>28</v>
      </c>
      <c r="F4" s="11" t="s">
        <v>21</v>
      </c>
      <c r="G4" s="11" t="s">
        <v>22</v>
      </c>
      <c r="H4" s="11"/>
      <c r="I4" s="11" t="s">
        <v>78</v>
      </c>
      <c r="J4" s="90"/>
      <c r="K4" s="90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ht="12.75">
      <c r="A5" s="11"/>
      <c r="B5" s="11" t="s">
        <v>14</v>
      </c>
      <c r="C5" s="11"/>
      <c r="D5" s="11"/>
      <c r="E5" s="11"/>
      <c r="F5" s="11"/>
      <c r="G5" s="11" t="s">
        <v>14</v>
      </c>
      <c r="H5" s="11"/>
      <c r="I5" s="11"/>
      <c r="J5" s="11"/>
      <c r="K5" s="11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12.75">
      <c r="A6" s="42">
        <v>10</v>
      </c>
      <c r="B6" s="42">
        <v>2016</v>
      </c>
      <c r="C6" s="44">
        <v>1482238.7866666673</v>
      </c>
      <c r="D6" s="44">
        <v>44467.163600000014</v>
      </c>
      <c r="E6" s="44">
        <v>1437771.6230666672</v>
      </c>
      <c r="F6" s="45">
        <v>-0.020843771800111432</v>
      </c>
      <c r="G6" s="42">
        <v>11</v>
      </c>
      <c r="H6" s="42">
        <v>2016</v>
      </c>
      <c r="I6" s="44">
        <v>1437771.6230666672</v>
      </c>
      <c r="J6" s="23"/>
      <c r="K6" s="89"/>
      <c r="L6" s="70">
        <f>IF(A6&gt;0,1,"")</f>
        <v>1</v>
      </c>
      <c r="M6" s="63">
        <f>DATE(B6,A6,1)</f>
        <v>42644</v>
      </c>
      <c r="N6" s="63">
        <f aca="true" t="shared" si="0" ref="N6:N17">IF(A6&gt;0,M6," ")</f>
        <v>42644</v>
      </c>
      <c r="O6" s="62"/>
      <c r="P6" s="62"/>
      <c r="Q6" s="62"/>
      <c r="R6" s="62"/>
      <c r="S6" s="62"/>
      <c r="T6" s="64">
        <f>IF(L6=1,(F6+1),0)</f>
        <v>0.9791562281998886</v>
      </c>
      <c r="U6" s="65">
        <f>IF(L6=1,C6/T6,0)</f>
        <v>1513791.92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2.75">
      <c r="A7" s="42">
        <v>11</v>
      </c>
      <c r="B7" s="42">
        <v>2016</v>
      </c>
      <c r="C7" s="44">
        <v>1682487.9666666675</v>
      </c>
      <c r="D7" s="44">
        <v>50474.639000000025</v>
      </c>
      <c r="E7" s="44">
        <v>1632013.3276666675</v>
      </c>
      <c r="F7" s="45">
        <v>-0.07316038556877125</v>
      </c>
      <c r="G7" s="42">
        <v>12</v>
      </c>
      <c r="H7" s="42">
        <v>2016</v>
      </c>
      <c r="I7" s="44">
        <v>1632013.3276666675</v>
      </c>
      <c r="J7" s="85"/>
      <c r="K7" s="89"/>
      <c r="L7" s="70">
        <f>IF(A7&gt;0,1,0)</f>
        <v>1</v>
      </c>
      <c r="M7" s="63">
        <f aca="true" t="shared" si="1" ref="M7:M17">DATE(B7,A7,1)</f>
        <v>42675</v>
      </c>
      <c r="N7" s="63">
        <f t="shared" si="0"/>
        <v>42675</v>
      </c>
      <c r="O7" s="62"/>
      <c r="P7" s="62"/>
      <c r="Q7" s="62"/>
      <c r="R7" s="62"/>
      <c r="S7" s="62"/>
      <c r="T7" s="64">
        <f aca="true" t="shared" si="2" ref="T7:T16">IF(L7=1,(F7+1),0)</f>
        <v>0.9268396144312288</v>
      </c>
      <c r="U7" s="65">
        <f aca="true" t="shared" si="3" ref="U7:U17">IF(L7=1,C7/T7,0)</f>
        <v>1815295.7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ht="12.75">
      <c r="A8" s="42">
        <v>12</v>
      </c>
      <c r="B8" s="42">
        <v>2016</v>
      </c>
      <c r="C8" s="44">
        <v>2119034.7866666676</v>
      </c>
      <c r="D8" s="44">
        <v>63571.043600000026</v>
      </c>
      <c r="E8" s="44">
        <v>2055463.7430666676</v>
      </c>
      <c r="F8" s="45">
        <v>-0.03545762225104576</v>
      </c>
      <c r="G8" s="42">
        <v>1</v>
      </c>
      <c r="H8" s="42">
        <v>2017</v>
      </c>
      <c r="I8" s="44">
        <v>2055463.7430666676</v>
      </c>
      <c r="J8" s="23"/>
      <c r="K8" s="89"/>
      <c r="L8" s="70">
        <f>IF(A8&gt;0,1,0)</f>
        <v>1</v>
      </c>
      <c r="M8" s="63">
        <f t="shared" si="1"/>
        <v>42705</v>
      </c>
      <c r="N8" s="63">
        <f t="shared" si="0"/>
        <v>42705</v>
      </c>
      <c r="O8" s="62"/>
      <c r="P8" s="62"/>
      <c r="Q8" s="62"/>
      <c r="R8" s="62"/>
      <c r="S8" s="62"/>
      <c r="T8" s="64">
        <f t="shared" si="2"/>
        <v>0.9645423777489542</v>
      </c>
      <c r="U8" s="65">
        <f t="shared" si="3"/>
        <v>2196932.8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12.75">
      <c r="A9" s="42">
        <v>1</v>
      </c>
      <c r="B9" s="42">
        <v>2017</v>
      </c>
      <c r="C9" s="44">
        <v>2285591.4266666677</v>
      </c>
      <c r="D9" s="44">
        <v>68567.74280000002</v>
      </c>
      <c r="E9" s="44">
        <v>2217023.6838666676</v>
      </c>
      <c r="F9" s="45">
        <v>-0.05430402818398572</v>
      </c>
      <c r="G9" s="42">
        <v>2</v>
      </c>
      <c r="H9" s="42">
        <v>2017</v>
      </c>
      <c r="I9" s="44">
        <v>2217023.6838666676</v>
      </c>
      <c r="J9" s="23"/>
      <c r="K9" s="89"/>
      <c r="L9" s="70">
        <f>IF(A9&gt;0,1,0)</f>
        <v>1</v>
      </c>
      <c r="M9" s="63">
        <f t="shared" si="1"/>
        <v>42736</v>
      </c>
      <c r="N9" s="63">
        <f t="shared" si="0"/>
        <v>42736</v>
      </c>
      <c r="O9" s="62"/>
      <c r="P9" s="62"/>
      <c r="Q9" s="62"/>
      <c r="R9" s="62"/>
      <c r="S9" s="62"/>
      <c r="T9" s="64">
        <f t="shared" si="2"/>
        <v>0.9456959718160143</v>
      </c>
      <c r="U9" s="65">
        <f t="shared" si="3"/>
        <v>2416835.32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12.75">
      <c r="A10" s="42">
        <v>2</v>
      </c>
      <c r="B10" s="42">
        <v>2017</v>
      </c>
      <c r="C10" s="44">
        <v>2554432.5066666678</v>
      </c>
      <c r="D10" s="44">
        <v>76632.97520000003</v>
      </c>
      <c r="E10" s="44">
        <v>2477799.5314666675</v>
      </c>
      <c r="F10" s="45">
        <v>-0.1245672043659044</v>
      </c>
      <c r="G10" s="42">
        <v>3</v>
      </c>
      <c r="H10" s="42">
        <v>2017</v>
      </c>
      <c r="I10" s="44">
        <v>2477799.5314666675</v>
      </c>
      <c r="J10" s="23"/>
      <c r="K10" s="89"/>
      <c r="L10" s="70">
        <f aca="true" t="shared" si="4" ref="L10:L16">IF(A10&gt;0,1,0)</f>
        <v>1</v>
      </c>
      <c r="M10" s="63">
        <f t="shared" si="1"/>
        <v>42767</v>
      </c>
      <c r="N10" s="63">
        <f t="shared" si="0"/>
        <v>42767</v>
      </c>
      <c r="O10" s="62"/>
      <c r="P10" s="62"/>
      <c r="Q10" s="62"/>
      <c r="R10" s="62"/>
      <c r="S10" s="62"/>
      <c r="T10" s="64">
        <f t="shared" si="2"/>
        <v>0.8754327956340956</v>
      </c>
      <c r="U10" s="65">
        <f t="shared" si="3"/>
        <v>2917908.17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s="43" customFormat="1" ht="14.25" customHeight="1">
      <c r="A11" s="42">
        <v>3</v>
      </c>
      <c r="B11" s="42">
        <v>2017</v>
      </c>
      <c r="C11" s="44">
        <v>2800431.760000001</v>
      </c>
      <c r="D11" s="44">
        <v>84012.95280000003</v>
      </c>
      <c r="E11" s="44">
        <v>2716418.807200001</v>
      </c>
      <c r="F11" s="45">
        <v>-0.06586886732887831</v>
      </c>
      <c r="G11" s="42">
        <v>4</v>
      </c>
      <c r="H11" s="42">
        <v>2017</v>
      </c>
      <c r="I11" s="44">
        <v>2716418.807200001</v>
      </c>
      <c r="J11" s="85"/>
      <c r="K11" s="89"/>
      <c r="L11" s="70">
        <f>IF(A11&gt;0,1,0)</f>
        <v>1</v>
      </c>
      <c r="M11" s="63">
        <f>DATE(B11,A11,1)</f>
        <v>42795</v>
      </c>
      <c r="N11" s="63">
        <f t="shared" si="0"/>
        <v>42795</v>
      </c>
      <c r="O11" s="62"/>
      <c r="P11" s="62"/>
      <c r="Q11" s="62"/>
      <c r="R11" s="62"/>
      <c r="S11" s="62"/>
      <c r="T11" s="64">
        <f t="shared" si="2"/>
        <v>0.9341311326711217</v>
      </c>
      <c r="U11" s="65">
        <f t="shared" si="3"/>
        <v>2997900.04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12.75">
      <c r="A12" s="42">
        <v>4</v>
      </c>
      <c r="B12" s="42">
        <v>2017</v>
      </c>
      <c r="C12" s="44">
        <v>3070672.0266666682</v>
      </c>
      <c r="D12" s="44">
        <v>92120.16080000004</v>
      </c>
      <c r="E12" s="44">
        <v>2978551.865866668</v>
      </c>
      <c r="F12" s="45">
        <v>0.0016636623605157386</v>
      </c>
      <c r="G12" s="42">
        <v>5</v>
      </c>
      <c r="H12" s="42">
        <v>2017</v>
      </c>
      <c r="I12" s="44">
        <v>2978551.865866668</v>
      </c>
      <c r="J12" s="23"/>
      <c r="K12" s="89"/>
      <c r="L12" s="70">
        <f t="shared" si="4"/>
        <v>1</v>
      </c>
      <c r="M12" s="63">
        <f t="shared" si="1"/>
        <v>42826</v>
      </c>
      <c r="N12" s="63">
        <f t="shared" si="0"/>
        <v>42826</v>
      </c>
      <c r="O12" s="62"/>
      <c r="P12" s="62"/>
      <c r="Q12" s="62"/>
      <c r="R12" s="62"/>
      <c r="S12" s="62"/>
      <c r="T12" s="64">
        <f t="shared" si="2"/>
        <v>1.0016636623605157</v>
      </c>
      <c r="U12" s="65">
        <f t="shared" si="3"/>
        <v>3065571.95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12.75">
      <c r="A13" s="42">
        <v>5</v>
      </c>
      <c r="B13" s="42">
        <v>2017</v>
      </c>
      <c r="C13" s="44">
        <v>2368846.1333333347</v>
      </c>
      <c r="D13" s="44">
        <v>71065.38400000003</v>
      </c>
      <c r="E13" s="44">
        <v>2297780.7493333346</v>
      </c>
      <c r="F13" s="45">
        <v>0.04587078530166688</v>
      </c>
      <c r="G13" s="42">
        <v>6</v>
      </c>
      <c r="H13" s="42">
        <v>2017</v>
      </c>
      <c r="I13" s="44">
        <v>2297780.7493333346</v>
      </c>
      <c r="J13" s="23"/>
      <c r="K13" s="89"/>
      <c r="L13" s="70">
        <f t="shared" si="4"/>
        <v>1</v>
      </c>
      <c r="M13" s="63">
        <f t="shared" si="1"/>
        <v>42856</v>
      </c>
      <c r="N13" s="63">
        <f t="shared" si="0"/>
        <v>42856</v>
      </c>
      <c r="O13" s="62"/>
      <c r="P13" s="62"/>
      <c r="Q13" s="62"/>
      <c r="R13" s="62"/>
      <c r="S13" s="62"/>
      <c r="T13" s="64">
        <f t="shared" si="2"/>
        <v>1.0458707853016669</v>
      </c>
      <c r="U13" s="65">
        <f t="shared" si="3"/>
        <v>2264951.05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12.75">
      <c r="A14" s="42">
        <v>6</v>
      </c>
      <c r="B14" s="42">
        <v>2017</v>
      </c>
      <c r="C14" s="44">
        <v>2176296.7933333344</v>
      </c>
      <c r="D14" s="44">
        <v>65288.90380000003</v>
      </c>
      <c r="E14" s="44">
        <v>2111007.8895333344</v>
      </c>
      <c r="F14" s="45">
        <v>0.09513461630281306</v>
      </c>
      <c r="G14" s="42">
        <v>7</v>
      </c>
      <c r="H14" s="42">
        <v>2017</v>
      </c>
      <c r="I14" s="44">
        <v>2111007.8895333344</v>
      </c>
      <c r="J14" s="23"/>
      <c r="K14" s="89"/>
      <c r="L14" s="70">
        <f t="shared" si="4"/>
        <v>1</v>
      </c>
      <c r="M14" s="63">
        <f t="shared" si="1"/>
        <v>42887</v>
      </c>
      <c r="N14" s="63">
        <f t="shared" si="0"/>
        <v>42887</v>
      </c>
      <c r="O14" s="62"/>
      <c r="P14" s="62"/>
      <c r="Q14" s="62"/>
      <c r="R14" s="62"/>
      <c r="S14" s="62"/>
      <c r="T14" s="64">
        <f t="shared" si="2"/>
        <v>1.095134616302813</v>
      </c>
      <c r="U14" s="65">
        <f t="shared" si="3"/>
        <v>1987241.35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12.75">
      <c r="A15" s="42">
        <v>7</v>
      </c>
      <c r="B15" s="42">
        <v>2017</v>
      </c>
      <c r="C15" s="44">
        <v>1781998.8333333342</v>
      </c>
      <c r="D15" s="44">
        <v>53459.965000000026</v>
      </c>
      <c r="E15" s="44">
        <v>1728538.868333334</v>
      </c>
      <c r="F15" s="45">
        <v>0.12915222690498318</v>
      </c>
      <c r="G15" s="42">
        <v>8</v>
      </c>
      <c r="H15" s="42">
        <v>2017</v>
      </c>
      <c r="I15" s="44">
        <v>1728538.868333334</v>
      </c>
      <c r="J15" s="23"/>
      <c r="K15" s="89"/>
      <c r="L15" s="70">
        <f t="shared" si="4"/>
        <v>1</v>
      </c>
      <c r="M15" s="63">
        <f t="shared" si="1"/>
        <v>42917</v>
      </c>
      <c r="N15" s="63">
        <f t="shared" si="0"/>
        <v>42917</v>
      </c>
      <c r="O15" s="62"/>
      <c r="P15" s="62"/>
      <c r="Q15" s="62"/>
      <c r="R15" s="62"/>
      <c r="S15" s="62"/>
      <c r="T15" s="64">
        <f t="shared" si="2"/>
        <v>1.1291522269049832</v>
      </c>
      <c r="U15" s="65">
        <f t="shared" si="3"/>
        <v>1578174.13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12.75">
      <c r="A16" s="42">
        <v>8</v>
      </c>
      <c r="B16" s="42">
        <v>2017</v>
      </c>
      <c r="C16" s="44">
        <v>2085967.8466666676</v>
      </c>
      <c r="D16" s="44">
        <v>62579.03540000002</v>
      </c>
      <c r="E16" s="44">
        <v>2023388.8112666677</v>
      </c>
      <c r="F16" s="45">
        <v>0.115409241171476</v>
      </c>
      <c r="G16" s="42">
        <v>9</v>
      </c>
      <c r="H16" s="42">
        <v>2017</v>
      </c>
      <c r="I16" s="44">
        <v>2023388.8112666674</v>
      </c>
      <c r="J16" s="85"/>
      <c r="L16" s="70">
        <f t="shared" si="4"/>
        <v>1</v>
      </c>
      <c r="M16" s="63">
        <f t="shared" si="1"/>
        <v>42948</v>
      </c>
      <c r="N16" s="63">
        <f t="shared" si="0"/>
        <v>42948</v>
      </c>
      <c r="O16" s="62"/>
      <c r="P16" s="62"/>
      <c r="Q16" s="62"/>
      <c r="R16" s="62"/>
      <c r="S16" s="62"/>
      <c r="T16" s="64">
        <f t="shared" si="2"/>
        <v>1.115409241171476</v>
      </c>
      <c r="U16" s="65">
        <f t="shared" si="3"/>
        <v>1870136.78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12.75">
      <c r="A17" s="42">
        <v>9</v>
      </c>
      <c r="B17" s="42">
        <v>2017</v>
      </c>
      <c r="C17" s="44">
        <v>1762791.3733333342</v>
      </c>
      <c r="D17" s="44">
        <v>52883.741200000026</v>
      </c>
      <c r="E17" s="44">
        <v>1709907.6321333342</v>
      </c>
      <c r="F17" s="45">
        <v>0.08139551580195059</v>
      </c>
      <c r="G17" s="42">
        <v>10</v>
      </c>
      <c r="H17" s="42">
        <v>2017</v>
      </c>
      <c r="I17" s="44">
        <v>1709907.6321333342</v>
      </c>
      <c r="J17" s="23"/>
      <c r="L17" s="70">
        <v>1</v>
      </c>
      <c r="M17" s="63">
        <f t="shared" si="1"/>
        <v>42979</v>
      </c>
      <c r="N17" s="63">
        <f t="shared" si="0"/>
        <v>42979</v>
      </c>
      <c r="O17" s="62"/>
      <c r="P17" s="62"/>
      <c r="Q17" s="62"/>
      <c r="R17" s="62"/>
      <c r="S17" s="62"/>
      <c r="T17" s="64">
        <f>IF(L17=1,(F17+1),"")</f>
        <v>1.0813955158019506</v>
      </c>
      <c r="U17" s="65">
        <f t="shared" si="3"/>
        <v>1630107.8999999997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2.75">
      <c r="A18" s="7"/>
      <c r="B18" s="7"/>
      <c r="C18" s="8">
        <f>SUM(C6:C17)</f>
        <v>26170790.240000017</v>
      </c>
      <c r="D18" s="8">
        <f>SUM(D6:D17)</f>
        <v>785123.7072000004</v>
      </c>
      <c r="E18" s="8">
        <f>SUM(E6:E17)</f>
        <v>25385666.53280001</v>
      </c>
      <c r="F18" s="9">
        <f>(C18/U18)-1</f>
        <v>-0.0032015752995174784</v>
      </c>
      <c r="G18" s="7"/>
      <c r="H18" s="7"/>
      <c r="I18" s="8">
        <f>SUM(I6:I17)</f>
        <v>25385666.53280001</v>
      </c>
      <c r="J18" s="8"/>
      <c r="K18" s="8"/>
      <c r="L18" s="70">
        <f>SUM(L6:L17)</f>
        <v>12</v>
      </c>
      <c r="M18" s="62"/>
      <c r="N18" s="62"/>
      <c r="O18" s="62"/>
      <c r="P18" s="62"/>
      <c r="Q18" s="66">
        <f>(F6+F7+F8+F9+F10+F11+F12+F13+F14+F15+F16+F17)/L18</f>
        <v>0.00786868069539238</v>
      </c>
      <c r="R18" s="62"/>
      <c r="S18" s="62"/>
      <c r="T18" s="62"/>
      <c r="U18" s="65">
        <f>SUM(U6:U17)</f>
        <v>26254847.11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2:35" ht="12.75"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2:35" ht="12.75"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2:35" ht="12.75"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12.75">
      <c r="A22" s="12"/>
      <c r="B22" s="12"/>
      <c r="C22" s="12" t="s">
        <v>30</v>
      </c>
      <c r="D22" s="12"/>
      <c r="E22" s="12"/>
      <c r="F22" s="12"/>
      <c r="G22" s="12"/>
      <c r="H22" s="12"/>
      <c r="I22" s="12"/>
      <c r="J22" s="1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2.75">
      <c r="A23" s="12"/>
      <c r="B23" s="12"/>
      <c r="C23" s="12" t="s">
        <v>31</v>
      </c>
      <c r="D23" s="12"/>
      <c r="E23" s="12"/>
      <c r="F23" s="12"/>
      <c r="G23" s="12"/>
      <c r="H23" s="12"/>
      <c r="I23" s="12"/>
      <c r="J23" s="1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2.75">
      <c r="A24" s="12"/>
      <c r="B24" s="12"/>
      <c r="C24" s="12" t="s">
        <v>32</v>
      </c>
      <c r="D24" s="12">
        <f>+B27</f>
        <v>2016</v>
      </c>
      <c r="E24" s="12" t="s">
        <v>3</v>
      </c>
      <c r="F24" s="12">
        <f>+B27+1</f>
        <v>2017</v>
      </c>
      <c r="G24" s="12"/>
      <c r="H24" s="12"/>
      <c r="I24" s="12"/>
      <c r="J24" s="12" t="s">
        <v>39</v>
      </c>
      <c r="L24" s="62"/>
      <c r="M24" s="62">
        <f>70833.33*12</f>
        <v>849999.96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12.75">
      <c r="A25" s="12"/>
      <c r="B25" s="12" t="s">
        <v>33</v>
      </c>
      <c r="C25" s="12" t="s">
        <v>34</v>
      </c>
      <c r="D25" s="12" t="s">
        <v>35</v>
      </c>
      <c r="E25" s="12" t="s">
        <v>82</v>
      </c>
      <c r="F25" s="12" t="s">
        <v>36</v>
      </c>
      <c r="G25" s="12" t="s">
        <v>83</v>
      </c>
      <c r="H25" s="12" t="s">
        <v>84</v>
      </c>
      <c r="I25" s="12" t="s">
        <v>85</v>
      </c>
      <c r="J25" s="12" t="s">
        <v>86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12.75">
      <c r="A26" s="12" t="s">
        <v>14</v>
      </c>
      <c r="B26" s="12" t="s">
        <v>15</v>
      </c>
      <c r="C26" s="12"/>
      <c r="D26" s="12"/>
      <c r="E26" s="79">
        <v>1125000</v>
      </c>
      <c r="F26" s="80"/>
      <c r="G26" s="12"/>
      <c r="H26" s="12"/>
      <c r="I26" s="12"/>
      <c r="J26" s="1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2.75">
      <c r="A27" s="81">
        <v>11</v>
      </c>
      <c r="B27" s="81">
        <v>2016</v>
      </c>
      <c r="C27" s="82">
        <v>39826.27395894668</v>
      </c>
      <c r="D27" s="82">
        <v>1397945.3491077207</v>
      </c>
      <c r="E27" s="82">
        <v>93750</v>
      </c>
      <c r="F27" s="82">
        <v>745017.2094646322</v>
      </c>
      <c r="G27" s="82">
        <v>279589.06982154417</v>
      </c>
      <c r="H27" s="82">
        <v>279589.06982154417</v>
      </c>
      <c r="I27" s="82">
        <v>1437771.623066667</v>
      </c>
      <c r="J27" s="82">
        <v>1397945.3491077204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2.75">
      <c r="A28" s="42">
        <v>12</v>
      </c>
      <c r="B28" s="42">
        <v>2016</v>
      </c>
      <c r="C28" s="44">
        <v>45206.76917636669</v>
      </c>
      <c r="D28" s="44">
        <v>1586806.5584903008</v>
      </c>
      <c r="E28" s="44">
        <v>93750</v>
      </c>
      <c r="F28" s="44">
        <v>858333.9350941803</v>
      </c>
      <c r="G28" s="44">
        <v>317361.3116980602</v>
      </c>
      <c r="H28" s="44">
        <v>317361.3116980602</v>
      </c>
      <c r="I28" s="44">
        <v>1632013.3276666673</v>
      </c>
      <c r="J28" s="44">
        <v>1586806.5584903006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12.75">
      <c r="A29" s="42">
        <v>1</v>
      </c>
      <c r="B29" s="42">
        <v>2017</v>
      </c>
      <c r="C29" s="44">
        <v>56936.34568294669</v>
      </c>
      <c r="D29" s="44">
        <v>1998527.3973837208</v>
      </c>
      <c r="E29" s="44">
        <v>93750</v>
      </c>
      <c r="F29" s="44">
        <v>1105366.4384302325</v>
      </c>
      <c r="G29" s="44">
        <v>399705.4794767442</v>
      </c>
      <c r="H29" s="44">
        <v>399705.4794767442</v>
      </c>
      <c r="I29" s="44">
        <v>2055463.7430666676</v>
      </c>
      <c r="J29" s="44">
        <v>1998527.3973837208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10" ht="12.75">
      <c r="A30" s="42">
        <v>2</v>
      </c>
      <c r="B30" s="42">
        <v>2017</v>
      </c>
      <c r="C30" s="44">
        <v>61411.55604310669</v>
      </c>
      <c r="D30" s="44">
        <v>2155612.127823561</v>
      </c>
      <c r="E30" s="44">
        <v>93750</v>
      </c>
      <c r="F30" s="44">
        <v>1199617.2766941367</v>
      </c>
      <c r="G30" s="44">
        <v>431122.4255647122</v>
      </c>
      <c r="H30" s="44">
        <v>431122.4255647122</v>
      </c>
      <c r="I30" s="44">
        <v>2217023.6838666676</v>
      </c>
      <c r="J30" s="44">
        <v>2155612.127823561</v>
      </c>
    </row>
    <row r="31" spans="1:10" ht="12.75">
      <c r="A31" s="42">
        <v>3</v>
      </c>
      <c r="B31" s="42">
        <v>2017</v>
      </c>
      <c r="C31" s="44">
        <v>68635.04702162668</v>
      </c>
      <c r="D31" s="44">
        <v>2409164.484445041</v>
      </c>
      <c r="E31" s="44">
        <v>93750</v>
      </c>
      <c r="F31" s="44">
        <v>1351748.6906670248</v>
      </c>
      <c r="G31" s="44">
        <v>481832.89688900823</v>
      </c>
      <c r="H31" s="44">
        <v>481832.89688900823</v>
      </c>
      <c r="I31" s="44">
        <v>2477799.5314666675</v>
      </c>
      <c r="J31" s="44">
        <v>2409164.484445041</v>
      </c>
    </row>
    <row r="32" spans="1:10" ht="12.75">
      <c r="A32" s="42">
        <v>4</v>
      </c>
      <c r="B32" s="42">
        <v>2017</v>
      </c>
      <c r="C32" s="44">
        <v>75244.80095944002</v>
      </c>
      <c r="D32" s="44">
        <v>2641174.006240561</v>
      </c>
      <c r="E32" s="44">
        <v>93750</v>
      </c>
      <c r="F32" s="44">
        <v>1490954.4037443367</v>
      </c>
      <c r="G32" s="44">
        <v>528234.8012481122</v>
      </c>
      <c r="H32" s="44">
        <v>528234.8012481122</v>
      </c>
      <c r="I32" s="44">
        <v>2716418.807200001</v>
      </c>
      <c r="J32" s="44">
        <v>2641174.006240561</v>
      </c>
    </row>
    <row r="33" spans="1:10" ht="12.75">
      <c r="A33" s="42">
        <v>5</v>
      </c>
      <c r="B33" s="42">
        <v>2017</v>
      </c>
      <c r="C33" s="44">
        <v>82505.8866845067</v>
      </c>
      <c r="D33" s="44">
        <v>2896045.9791821614</v>
      </c>
      <c r="E33" s="44">
        <v>93750</v>
      </c>
      <c r="F33" s="44">
        <v>1643877.5875092968</v>
      </c>
      <c r="G33" s="44">
        <v>579209.1958364323</v>
      </c>
      <c r="H33" s="44">
        <v>579209.1958364323</v>
      </c>
      <c r="I33" s="44">
        <v>2978551.865866668</v>
      </c>
      <c r="J33" s="44">
        <v>2896045.9791821614</v>
      </c>
    </row>
    <row r="34" spans="1:10" ht="12.75">
      <c r="A34" s="42">
        <v>6</v>
      </c>
      <c r="B34" s="42">
        <v>2017</v>
      </c>
      <c r="C34" s="44">
        <v>63648.52675653336</v>
      </c>
      <c r="D34" s="44">
        <v>2234132.222576801</v>
      </c>
      <c r="E34" s="44">
        <v>93750</v>
      </c>
      <c r="F34" s="44">
        <v>1246729.3335460806</v>
      </c>
      <c r="G34" s="44">
        <v>446826.4445153603</v>
      </c>
      <c r="H34" s="44">
        <v>446826.4445153603</v>
      </c>
      <c r="I34" s="44">
        <v>2297780.7493333346</v>
      </c>
      <c r="J34" s="44">
        <v>2234132.222576801</v>
      </c>
    </row>
    <row r="35" spans="1:10" ht="12.75">
      <c r="A35" s="42">
        <v>7</v>
      </c>
      <c r="B35" s="42">
        <v>2017</v>
      </c>
      <c r="C35" s="44">
        <v>58474.91854007336</v>
      </c>
      <c r="D35" s="44">
        <v>2052532.970993261</v>
      </c>
      <c r="E35" s="44">
        <v>93750</v>
      </c>
      <c r="F35" s="44">
        <v>1137769.7825959565</v>
      </c>
      <c r="G35" s="44">
        <v>410506.59419865225</v>
      </c>
      <c r="H35" s="44">
        <v>410506.59419865225</v>
      </c>
      <c r="I35" s="44">
        <v>2111007.8895333344</v>
      </c>
      <c r="J35" s="44">
        <v>2052532.970993261</v>
      </c>
    </row>
    <row r="36" spans="1:10" ht="12.75">
      <c r="A36" s="42">
        <v>8</v>
      </c>
      <c r="B36" s="42">
        <v>2017</v>
      </c>
      <c r="C36" s="44">
        <v>47880.52665283335</v>
      </c>
      <c r="D36" s="44">
        <v>1680658.3416805007</v>
      </c>
      <c r="E36" s="44">
        <v>93750</v>
      </c>
      <c r="F36" s="44">
        <v>914645.0050083003</v>
      </c>
      <c r="G36" s="44">
        <v>336131.6683361002</v>
      </c>
      <c r="H36" s="44">
        <v>336131.6683361002</v>
      </c>
      <c r="I36" s="44">
        <v>1728538.868333334</v>
      </c>
      <c r="J36" s="44">
        <v>1680658.3416805007</v>
      </c>
    </row>
    <row r="37" spans="1:12" ht="12.75">
      <c r="A37" s="42">
        <v>9</v>
      </c>
      <c r="B37" s="42">
        <v>2017</v>
      </c>
      <c r="C37" s="44">
        <v>56047.870072086684</v>
      </c>
      <c r="D37" s="44">
        <v>1967340.9411945809</v>
      </c>
      <c r="E37" s="44">
        <v>93750</v>
      </c>
      <c r="F37" s="44">
        <v>1086654.5647167484</v>
      </c>
      <c r="G37" s="44">
        <v>393468.1882389162</v>
      </c>
      <c r="H37" s="44">
        <v>393468.1882389162</v>
      </c>
      <c r="I37" s="44">
        <v>2023388.8112666674</v>
      </c>
      <c r="J37" s="26">
        <v>1967340.9411945809</v>
      </c>
      <c r="K37" s="86"/>
      <c r="L37" s="23"/>
    </row>
    <row r="38" spans="1:13" ht="12.75">
      <c r="A38" s="42">
        <v>10</v>
      </c>
      <c r="B38" s="42">
        <v>2017</v>
      </c>
      <c r="C38" s="44">
        <v>47364.44141009336</v>
      </c>
      <c r="D38" s="44">
        <v>1662543.1907232408</v>
      </c>
      <c r="E38" s="44">
        <v>93750</v>
      </c>
      <c r="F38" s="44">
        <v>903775.9144339445</v>
      </c>
      <c r="G38" s="44">
        <v>332508.63814464817</v>
      </c>
      <c r="H38" s="44">
        <v>332508.63814464817</v>
      </c>
      <c r="I38" s="44">
        <v>1709907.6321333342</v>
      </c>
      <c r="J38" s="44">
        <v>1662543.1907232408</v>
      </c>
      <c r="L38" s="41"/>
      <c r="M38" s="49"/>
    </row>
    <row r="39" spans="1:11" ht="12.75">
      <c r="A39" s="13"/>
      <c r="B39" s="13"/>
      <c r="C39" s="14">
        <f aca="true" t="shared" si="5" ref="C39:J39">SUM(C27:C38)</f>
        <v>703182.9629585602</v>
      </c>
      <c r="D39" s="14">
        <f t="shared" si="5"/>
        <v>24682483.569841452</v>
      </c>
      <c r="E39" s="14">
        <f t="shared" si="5"/>
        <v>1125000</v>
      </c>
      <c r="F39" s="14">
        <f t="shared" si="5"/>
        <v>13684490.141904872</v>
      </c>
      <c r="G39" s="14">
        <f t="shared" si="5"/>
        <v>4936496.71396829</v>
      </c>
      <c r="H39" s="14">
        <f t="shared" si="5"/>
        <v>4936496.71396829</v>
      </c>
      <c r="I39" s="14">
        <f t="shared" si="5"/>
        <v>25385666.53280001</v>
      </c>
      <c r="J39" s="14">
        <f t="shared" si="5"/>
        <v>24682483.569841452</v>
      </c>
      <c r="K39" s="87"/>
    </row>
    <row r="43" spans="10:15" ht="12.75">
      <c r="J43" s="49"/>
      <c r="K43" s="88"/>
      <c r="L43" s="44"/>
      <c r="M43" s="49"/>
      <c r="N43" s="49"/>
      <c r="O43" s="49"/>
    </row>
    <row r="44" spans="10:15" ht="12.75">
      <c r="J44" s="49"/>
      <c r="K44" s="88"/>
      <c r="L44" s="44"/>
      <c r="M44" s="49"/>
      <c r="N44" s="49"/>
      <c r="O44" s="49"/>
    </row>
    <row r="45" spans="11:13" ht="12.75">
      <c r="K45" s="88"/>
      <c r="L45" s="44"/>
      <c r="M45" s="49"/>
    </row>
    <row r="46" spans="11:15" ht="12.75">
      <c r="K46" s="88"/>
      <c r="L46" s="44"/>
      <c r="M46" s="49"/>
      <c r="O46" s="49"/>
    </row>
    <row r="47" spans="11:13" ht="12.75">
      <c r="K47" s="88"/>
      <c r="L47" s="44"/>
      <c r="M47" s="49"/>
    </row>
    <row r="48" spans="11:13" ht="12.75">
      <c r="K48" s="88"/>
      <c r="L48" s="44"/>
      <c r="M48" s="49"/>
    </row>
    <row r="49" spans="11:13" ht="12.75">
      <c r="K49" s="88"/>
      <c r="L49" s="44"/>
      <c r="M49" s="49"/>
    </row>
    <row r="50" spans="11:13" ht="12.75">
      <c r="K50" s="88"/>
      <c r="L50" s="44"/>
      <c r="M50" s="49"/>
    </row>
    <row r="51" spans="11:13" ht="12.75">
      <c r="K51" s="88"/>
      <c r="L51" s="44"/>
      <c r="M51" s="49"/>
    </row>
    <row r="52" spans="11:13" ht="12.75">
      <c r="K52" s="88"/>
      <c r="L52" s="44"/>
      <c r="M52" s="49"/>
    </row>
    <row r="53" spans="11:13" ht="12.75">
      <c r="K53" s="88"/>
      <c r="L53" s="44"/>
      <c r="M53" s="49"/>
    </row>
    <row r="54" spans="11:13" ht="12.75">
      <c r="K54" s="88"/>
      <c r="L54" s="44"/>
      <c r="M54" s="49"/>
    </row>
    <row r="71" spans="1:9" ht="12.75">
      <c r="A71" s="11"/>
      <c r="B71" s="11"/>
      <c r="C71" s="11" t="s">
        <v>24</v>
      </c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 t="s">
        <v>25</v>
      </c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 t="s">
        <v>26</v>
      </c>
      <c r="D73" s="11">
        <f>+B6</f>
        <v>2016</v>
      </c>
      <c r="E73" s="11" t="s">
        <v>3</v>
      </c>
      <c r="F73" s="11">
        <f>+D73+1</f>
        <v>2017</v>
      </c>
      <c r="G73" s="11"/>
      <c r="H73" s="11"/>
      <c r="I73" s="11"/>
    </row>
    <row r="74" spans="1:9" ht="12.75">
      <c r="A74" s="11"/>
      <c r="B74" s="11" t="s">
        <v>4</v>
      </c>
      <c r="C74" s="11" t="s">
        <v>19</v>
      </c>
      <c r="D74" s="11" t="s">
        <v>27</v>
      </c>
      <c r="E74" s="11" t="s">
        <v>28</v>
      </c>
      <c r="F74" s="11" t="s">
        <v>21</v>
      </c>
      <c r="G74" s="11" t="s">
        <v>22</v>
      </c>
      <c r="H74" s="11"/>
      <c r="I74" s="11" t="s">
        <v>29</v>
      </c>
    </row>
    <row r="75" spans="1:9" ht="12.75">
      <c r="A75" s="11" t="s">
        <v>63</v>
      </c>
      <c r="B75" s="11" t="s">
        <v>15</v>
      </c>
      <c r="C75" s="11"/>
      <c r="D75" s="11"/>
      <c r="E75" s="11"/>
      <c r="F75" s="11"/>
      <c r="G75" s="11" t="s">
        <v>68</v>
      </c>
      <c r="H75" s="11"/>
      <c r="I75" s="11"/>
    </row>
    <row r="76" spans="1:15" ht="12.75">
      <c r="A76">
        <v>1</v>
      </c>
      <c r="B76" t="str">
        <f>+B6&amp;"-"&amp;(B6+1)</f>
        <v>2016-2017</v>
      </c>
      <c r="C76" s="1">
        <f>+C6+C7+C8</f>
        <v>5283761.540000003</v>
      </c>
      <c r="D76" s="1">
        <f>+D6+D7+D8</f>
        <v>158512.84620000006</v>
      </c>
      <c r="E76" s="1">
        <f>+E6+E7+E8</f>
        <v>5125248.693800002</v>
      </c>
      <c r="F76" s="31">
        <f>+F6+F7+F8/O76</f>
        <v>-0.10582336478589793</v>
      </c>
      <c r="G76" s="10">
        <f aca="true" t="shared" si="6" ref="G76:H79">+A76</f>
        <v>1</v>
      </c>
      <c r="H76" s="1" t="str">
        <f t="shared" si="6"/>
        <v>2016-2017</v>
      </c>
      <c r="I76" s="1">
        <f>+I6+I7+I8</f>
        <v>5125248.693800002</v>
      </c>
      <c r="L76" s="10"/>
      <c r="O76" s="10">
        <f>+L6+L7+L8</f>
        <v>3</v>
      </c>
    </row>
    <row r="77" spans="1:15" ht="12.75">
      <c r="A77">
        <v>2</v>
      </c>
      <c r="B77" t="str">
        <f>+B76</f>
        <v>2016-2017</v>
      </c>
      <c r="C77" s="1">
        <f aca="true" t="shared" si="7" ref="C77:E78">+C9+C10+C11</f>
        <v>7640455.693333337</v>
      </c>
      <c r="D77" s="1">
        <f t="shared" si="7"/>
        <v>229213.67080000008</v>
      </c>
      <c r="E77" s="1">
        <f t="shared" si="7"/>
        <v>7411242.022533337</v>
      </c>
      <c r="F77" s="31">
        <f>+F7+F8+F9/O77</f>
        <v>-0.12671935054781225</v>
      </c>
      <c r="G77" s="10">
        <f t="shared" si="6"/>
        <v>2</v>
      </c>
      <c r="H77" s="1" t="str">
        <f t="shared" si="6"/>
        <v>2016-2017</v>
      </c>
      <c r="I77" s="1">
        <f>+I9+I10+I11</f>
        <v>7411242.022533337</v>
      </c>
      <c r="L77" s="10"/>
      <c r="O77" s="10">
        <f>+L9+L10+L11</f>
        <v>3</v>
      </c>
    </row>
    <row r="78" spans="1:15" ht="12.75">
      <c r="A78">
        <v>3</v>
      </c>
      <c r="B78" t="str">
        <f>+B76</f>
        <v>2016-2017</v>
      </c>
      <c r="C78" s="1">
        <f t="shared" si="7"/>
        <v>8425536.293333337</v>
      </c>
      <c r="D78" s="1">
        <f t="shared" si="7"/>
        <v>252766.0888000001</v>
      </c>
      <c r="E78" s="1">
        <f t="shared" si="7"/>
        <v>8172770.204533337</v>
      </c>
      <c r="F78" s="31">
        <f>+F8+F9+F10/O78</f>
        <v>-0.13128405189033296</v>
      </c>
      <c r="G78" s="10">
        <f t="shared" si="6"/>
        <v>3</v>
      </c>
      <c r="H78" s="1" t="str">
        <f t="shared" si="6"/>
        <v>2016-2017</v>
      </c>
      <c r="I78" s="1">
        <f>+I10+I11+I12</f>
        <v>8172770.204533337</v>
      </c>
      <c r="O78" s="10">
        <f>+L12+L13+L14</f>
        <v>3</v>
      </c>
    </row>
    <row r="79" spans="1:15" ht="12.75">
      <c r="A79">
        <v>4</v>
      </c>
      <c r="B79" t="str">
        <f>+B76</f>
        <v>2016-2017</v>
      </c>
      <c r="C79" s="1">
        <f>+C13+C14+C15</f>
        <v>6327141.7600000035</v>
      </c>
      <c r="D79" s="1">
        <f>+D13+D14+D15</f>
        <v>189814.25280000007</v>
      </c>
      <c r="E79" s="1">
        <f>+E13+E14+E15</f>
        <v>6137327.507200003</v>
      </c>
      <c r="F79" s="1">
        <f>+F13+F14+F15</f>
        <v>0.2701576285094631</v>
      </c>
      <c r="G79" s="10">
        <f t="shared" si="6"/>
        <v>4</v>
      </c>
      <c r="H79" s="1" t="str">
        <f t="shared" si="6"/>
        <v>2016-2017</v>
      </c>
      <c r="I79" s="1">
        <f>+I13+I14+I15</f>
        <v>6137327.507200003</v>
      </c>
      <c r="O79" s="10">
        <f>+L15+L16+L17</f>
        <v>3</v>
      </c>
    </row>
    <row r="80" spans="1:9" ht="12.75">
      <c r="A80" s="3" t="s">
        <v>69</v>
      </c>
      <c r="B80" s="3"/>
      <c r="C80" s="32">
        <f>SUM(C76:C79)</f>
        <v>27676895.286666684</v>
      </c>
      <c r="D80" s="32">
        <f>SUM(D76:D79)</f>
        <v>830306.8586000004</v>
      </c>
      <c r="E80" s="32">
        <f>SUM(E76:E79)</f>
        <v>26846588.42806668</v>
      </c>
      <c r="F80" s="33">
        <f>+F18</f>
        <v>-0.0032015752995174784</v>
      </c>
      <c r="G80" s="34"/>
      <c r="H80" s="3"/>
      <c r="I80" s="32">
        <f>SUM(I76:I79)</f>
        <v>26846588.42806668</v>
      </c>
    </row>
    <row r="86" spans="1:9" ht="12.75">
      <c r="A86" s="12"/>
      <c r="B86" s="12"/>
      <c r="C86" s="12" t="s">
        <v>30</v>
      </c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 t="s">
        <v>31</v>
      </c>
      <c r="D87" s="12"/>
      <c r="E87" s="12"/>
      <c r="F87" s="12"/>
      <c r="G87" s="12"/>
      <c r="H87" s="12"/>
      <c r="I87" s="12"/>
    </row>
    <row r="88" spans="1:9" ht="12.75">
      <c r="A88" s="12"/>
      <c r="B88" s="11" t="s">
        <v>4</v>
      </c>
      <c r="C88" s="12" t="s">
        <v>32</v>
      </c>
      <c r="D88" s="12">
        <f>+B6</f>
        <v>2016</v>
      </c>
      <c r="E88" s="12" t="s">
        <v>3</v>
      </c>
      <c r="F88" s="12">
        <f>+D88+1</f>
        <v>2017</v>
      </c>
      <c r="G88" s="12"/>
      <c r="H88" s="12"/>
      <c r="I88" s="12"/>
    </row>
    <row r="89" spans="1:9" ht="12.75">
      <c r="A89" s="12" t="s">
        <v>63</v>
      </c>
      <c r="B89" s="11" t="s">
        <v>15</v>
      </c>
      <c r="C89" s="12" t="s">
        <v>34</v>
      </c>
      <c r="D89" s="12" t="s">
        <v>35</v>
      </c>
      <c r="E89" s="12" t="s">
        <v>62</v>
      </c>
      <c r="F89" s="12" t="s">
        <v>36</v>
      </c>
      <c r="G89" s="12" t="s">
        <v>37</v>
      </c>
      <c r="H89" s="12" t="s">
        <v>38</v>
      </c>
      <c r="I89" s="12" t="s">
        <v>39</v>
      </c>
    </row>
    <row r="90" spans="1:9" ht="12.75">
      <c r="A90">
        <f>+A76</f>
        <v>1</v>
      </c>
      <c r="B90" t="str">
        <f>+B76</f>
        <v>2016-2017</v>
      </c>
      <c r="C90" s="1">
        <f aca="true" t="shared" si="8" ref="C90:H90">+C27+C28+C29</f>
        <v>141969.38881826005</v>
      </c>
      <c r="D90" s="1">
        <f t="shared" si="8"/>
        <v>4983279.304981742</v>
      </c>
      <c r="E90" s="1">
        <f t="shared" si="8"/>
        <v>281250</v>
      </c>
      <c r="F90" s="1">
        <f t="shared" si="8"/>
        <v>2708717.582989045</v>
      </c>
      <c r="G90" s="1">
        <f t="shared" si="8"/>
        <v>996655.8609963486</v>
      </c>
      <c r="H90" s="1">
        <f t="shared" si="8"/>
        <v>996655.8609963486</v>
      </c>
      <c r="I90" s="1">
        <f>+J27+J28+J29</f>
        <v>4983279.304981742</v>
      </c>
    </row>
    <row r="91" spans="1:9" ht="12.75">
      <c r="A91">
        <f>+A77</f>
        <v>2</v>
      </c>
      <c r="B91" t="str">
        <f>+B90</f>
        <v>2016-2017</v>
      </c>
      <c r="C91" s="1">
        <f aca="true" t="shared" si="9" ref="C91:H91">+C30+C31+C32</f>
        <v>205291.4040241734</v>
      </c>
      <c r="D91" s="1">
        <f t="shared" si="9"/>
        <v>7205950.618509164</v>
      </c>
      <c r="E91" s="1">
        <f t="shared" si="9"/>
        <v>281250</v>
      </c>
      <c r="F91" s="1">
        <f t="shared" si="9"/>
        <v>4042320.371105498</v>
      </c>
      <c r="G91" s="1">
        <f t="shared" si="9"/>
        <v>1441190.1237018327</v>
      </c>
      <c r="H91" s="1">
        <f t="shared" si="9"/>
        <v>1441190.1237018327</v>
      </c>
      <c r="I91" s="1">
        <f>+J30+J31+J32</f>
        <v>7205950.618509164</v>
      </c>
    </row>
    <row r="92" spans="1:9" ht="12.75">
      <c r="A92">
        <f>+A78</f>
        <v>3</v>
      </c>
      <c r="B92" t="str">
        <f>+B90</f>
        <v>2016-2017</v>
      </c>
      <c r="C92" s="1">
        <f>+C33+C34+C35</f>
        <v>204629.3319811134</v>
      </c>
      <c r="D92" s="1">
        <f>+D33+D34+D35</f>
        <v>7182711.172752223</v>
      </c>
      <c r="E92" s="1">
        <f>+E33+E34+E35</f>
        <v>281250</v>
      </c>
      <c r="F92" s="1">
        <f>+F33+F34+F35</f>
        <v>4028376.703651334</v>
      </c>
      <c r="G92" s="1">
        <f>+G33+G34+G35</f>
        <v>1436542.2345504449</v>
      </c>
      <c r="H92" s="1">
        <f>+H33+H34+I35</f>
        <v>3137043.529885127</v>
      </c>
      <c r="I92" s="1">
        <f>+J33+J34+J35</f>
        <v>7182711.172752223</v>
      </c>
    </row>
    <row r="93" spans="1:9" ht="12.75">
      <c r="A93">
        <f>+A79</f>
        <v>4</v>
      </c>
      <c r="B93" t="str">
        <f>+B90</f>
        <v>2016-2017</v>
      </c>
      <c r="C93" s="1">
        <f>+C36+C37+C38</f>
        <v>151292.8381350134</v>
      </c>
      <c r="D93" s="1">
        <f>+D36+D37+D38</f>
        <v>5310542.473598322</v>
      </c>
      <c r="E93" s="1">
        <f>+E36+E37+E38</f>
        <v>281250</v>
      </c>
      <c r="F93" s="1">
        <f>+F36+F37+F38</f>
        <v>2905075.4841589932</v>
      </c>
      <c r="G93" s="1">
        <f>+G36+G37+G38</f>
        <v>1062108.4947196646</v>
      </c>
      <c r="H93" s="1">
        <f>+I36+I37+I38</f>
        <v>5461835.311733335</v>
      </c>
      <c r="I93" s="1">
        <f>+J36+J37+J38</f>
        <v>5310542.473598322</v>
      </c>
    </row>
    <row r="94" spans="1:9" ht="12.75">
      <c r="A94" s="3" t="s">
        <v>69</v>
      </c>
      <c r="B94" s="3"/>
      <c r="C94" s="32">
        <f aca="true" t="shared" si="10" ref="C94:I94">SUM(C90:C93)</f>
        <v>703182.9629585602</v>
      </c>
      <c r="D94" s="32">
        <f t="shared" si="10"/>
        <v>24682483.569841452</v>
      </c>
      <c r="E94" s="32">
        <f t="shared" si="10"/>
        <v>1125000</v>
      </c>
      <c r="F94" s="32">
        <f t="shared" si="10"/>
        <v>13684490.14190487</v>
      </c>
      <c r="G94" s="32">
        <f t="shared" si="10"/>
        <v>4936496.71396829</v>
      </c>
      <c r="H94" s="32">
        <f t="shared" si="10"/>
        <v>11036724.826316644</v>
      </c>
      <c r="I94" s="32">
        <f t="shared" si="10"/>
        <v>24682483.569841452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6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9.7109375" style="0" customWidth="1"/>
    <col min="9" max="9" width="17.28125" style="0" customWidth="1"/>
    <col min="10" max="10" width="22.140625" style="0" customWidth="1"/>
    <col min="11" max="11" width="16.14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26" ht="12.75">
      <c r="A1" s="3"/>
      <c r="B1" s="3" t="s">
        <v>0</v>
      </c>
      <c r="C1" s="3"/>
      <c r="D1" s="3"/>
      <c r="E1" s="3"/>
      <c r="F1" s="3"/>
      <c r="G1" s="3"/>
      <c r="H1" s="3"/>
      <c r="I1" s="3"/>
      <c r="J1" s="43"/>
      <c r="K1" s="43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43"/>
    </row>
    <row r="2" spans="1:26" ht="12.75">
      <c r="A2" s="3"/>
      <c r="B2" s="3" t="s">
        <v>16</v>
      </c>
      <c r="C2" s="3"/>
      <c r="D2" s="3"/>
      <c r="E2" s="3"/>
      <c r="F2" s="3"/>
      <c r="G2" s="3"/>
      <c r="H2" s="3"/>
      <c r="I2" s="3"/>
      <c r="J2" s="43"/>
      <c r="K2" s="4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43"/>
    </row>
    <row r="3" spans="1:26" ht="12.75">
      <c r="A3" s="3"/>
      <c r="B3" s="3" t="s">
        <v>17</v>
      </c>
      <c r="C3" s="3">
        <f>+B6</f>
        <v>2016</v>
      </c>
      <c r="D3" s="3" t="s">
        <v>3</v>
      </c>
      <c r="E3" s="3">
        <f>+B6+1</f>
        <v>2017</v>
      </c>
      <c r="F3" s="3"/>
      <c r="G3" s="3"/>
      <c r="H3" s="3"/>
      <c r="I3" s="3"/>
      <c r="J3" s="43"/>
      <c r="K3" s="43"/>
      <c r="L3" s="62"/>
      <c r="M3" s="62">
        <f>+B6-1</f>
        <v>2015</v>
      </c>
      <c r="N3" s="62" t="s">
        <v>3</v>
      </c>
      <c r="O3" s="62">
        <f>+B6</f>
        <v>2016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43"/>
    </row>
    <row r="4" spans="1:26" ht="12.75">
      <c r="A4" s="47" t="s">
        <v>18</v>
      </c>
      <c r="B4" s="47"/>
      <c r="C4" s="47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  <c r="J4" s="43"/>
      <c r="K4" s="43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43"/>
    </row>
    <row r="5" spans="1:26" ht="12.75">
      <c r="A5" s="47" t="s">
        <v>14</v>
      </c>
      <c r="B5" s="48" t="s">
        <v>15</v>
      </c>
      <c r="C5" s="47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43"/>
    </row>
    <row r="6" spans="1:25" s="43" customFormat="1" ht="15.75" customHeight="1">
      <c r="A6" s="42">
        <v>10</v>
      </c>
      <c r="B6" s="42">
        <v>2016</v>
      </c>
      <c r="C6" s="44">
        <v>741119.3933333337</v>
      </c>
      <c r="D6" s="44">
        <v>22233.581800000007</v>
      </c>
      <c r="E6" s="44">
        <v>718885.8115333336</v>
      </c>
      <c r="F6" s="45">
        <v>-0.020843771800111432</v>
      </c>
      <c r="G6" s="42">
        <v>11</v>
      </c>
      <c r="H6" s="42">
        <v>2016</v>
      </c>
      <c r="I6" s="44">
        <v>718885.8115333336</v>
      </c>
      <c r="J6" s="23"/>
      <c r="K6" s="89"/>
      <c r="L6" s="70">
        <f aca="true" t="shared" si="0" ref="L6:L17">IF(A6&gt;0,1,0)</f>
        <v>1</v>
      </c>
      <c r="M6" s="67">
        <f>DATE(B6,A6,1)</f>
        <v>42644</v>
      </c>
      <c r="N6" s="63">
        <f>IF(A6&gt;0,M6,"")</f>
        <v>42644</v>
      </c>
      <c r="O6" s="62"/>
      <c r="P6" s="62"/>
      <c r="Q6" s="62"/>
      <c r="R6" s="64">
        <f>IF(L6=1,(F6+1),0)</f>
        <v>0.9791562281998886</v>
      </c>
      <c r="S6" s="65">
        <f>IF(L6=1,C6/R6,0)</f>
        <v>756895.96</v>
      </c>
      <c r="T6" s="62"/>
      <c r="U6" s="62"/>
      <c r="V6" s="62"/>
      <c r="W6" s="62"/>
      <c r="X6" s="62"/>
      <c r="Y6" s="62"/>
    </row>
    <row r="7" spans="1:26" ht="12.75">
      <c r="A7" s="42">
        <v>11</v>
      </c>
      <c r="B7" s="42">
        <v>2016</v>
      </c>
      <c r="C7" s="44">
        <v>841243.9833333337</v>
      </c>
      <c r="D7" s="44">
        <v>25237.319500000012</v>
      </c>
      <c r="E7" s="44">
        <v>816006.6638333338</v>
      </c>
      <c r="F7" s="45">
        <v>-0.07316038556877125</v>
      </c>
      <c r="G7" s="42">
        <v>12</v>
      </c>
      <c r="H7" s="42">
        <v>2016</v>
      </c>
      <c r="I7" s="44">
        <v>816006.6638333338</v>
      </c>
      <c r="J7" s="23"/>
      <c r="K7" s="89"/>
      <c r="L7" s="70">
        <f t="shared" si="0"/>
        <v>1</v>
      </c>
      <c r="M7" s="67">
        <f aca="true" t="shared" si="1" ref="M7:M17">DATE(B7,A7,1)</f>
        <v>42675</v>
      </c>
      <c r="N7" s="63">
        <f aca="true" t="shared" si="2" ref="N7:N17">IF(A7&gt;0,M7," ")</f>
        <v>42675</v>
      </c>
      <c r="O7" s="62"/>
      <c r="P7" s="62"/>
      <c r="Q7" s="62"/>
      <c r="R7" s="64">
        <f aca="true" t="shared" si="3" ref="R7:R17">IF(L7=1,(F7+1),0)</f>
        <v>0.9268396144312288</v>
      </c>
      <c r="S7" s="65">
        <f aca="true" t="shared" si="4" ref="S7:S17">IF(L7=1,C7/R7,0)</f>
        <v>907647.85</v>
      </c>
      <c r="T7" s="62"/>
      <c r="U7" s="62"/>
      <c r="V7" s="62"/>
      <c r="W7" s="62"/>
      <c r="X7" s="62"/>
      <c r="Y7" s="62"/>
      <c r="Z7" s="43"/>
    </row>
    <row r="8" spans="1:26" ht="12.75">
      <c r="A8" s="42">
        <v>12</v>
      </c>
      <c r="B8" s="42">
        <v>2016</v>
      </c>
      <c r="C8" s="44">
        <v>1059517.3933333338</v>
      </c>
      <c r="D8" s="44">
        <v>31785.521800000013</v>
      </c>
      <c r="E8" s="44">
        <v>1027731.8715333338</v>
      </c>
      <c r="F8" s="45">
        <v>-0.03545762225104576</v>
      </c>
      <c r="G8" s="42">
        <v>1</v>
      </c>
      <c r="H8" s="42">
        <v>2017</v>
      </c>
      <c r="I8" s="44">
        <v>1027731.8715333338</v>
      </c>
      <c r="J8" s="23"/>
      <c r="K8" s="89"/>
      <c r="L8" s="70">
        <f t="shared" si="0"/>
        <v>1</v>
      </c>
      <c r="M8" s="67">
        <f t="shared" si="1"/>
        <v>42705</v>
      </c>
      <c r="N8" s="63">
        <f t="shared" si="2"/>
        <v>42705</v>
      </c>
      <c r="O8" s="62"/>
      <c r="P8" s="62"/>
      <c r="Q8" s="62"/>
      <c r="R8" s="64">
        <f t="shared" si="3"/>
        <v>0.9645423777489542</v>
      </c>
      <c r="S8" s="65">
        <f t="shared" si="4"/>
        <v>1098466.4</v>
      </c>
      <c r="T8" s="62"/>
      <c r="U8" s="62"/>
      <c r="V8" s="62"/>
      <c r="W8" s="62"/>
      <c r="X8" s="62"/>
      <c r="Y8" s="62"/>
      <c r="Z8" s="43"/>
    </row>
    <row r="9" spans="1:26" ht="12.75">
      <c r="A9" s="42">
        <v>1</v>
      </c>
      <c r="B9" s="42">
        <v>2017</v>
      </c>
      <c r="C9" s="44">
        <v>1142795.7133333338</v>
      </c>
      <c r="D9" s="44">
        <v>34283.87140000001</v>
      </c>
      <c r="E9" s="44">
        <v>1108511.8419333338</v>
      </c>
      <c r="F9" s="45">
        <v>-0.05430402818398572</v>
      </c>
      <c r="G9" s="42">
        <v>2</v>
      </c>
      <c r="H9" s="42">
        <v>2017</v>
      </c>
      <c r="I9" s="44">
        <v>1108511.8419333338</v>
      </c>
      <c r="J9" s="23"/>
      <c r="K9" s="89"/>
      <c r="L9" s="70">
        <f t="shared" si="0"/>
        <v>1</v>
      </c>
      <c r="M9" s="67">
        <f t="shared" si="1"/>
        <v>42736</v>
      </c>
      <c r="N9" s="63">
        <f t="shared" si="2"/>
        <v>42736</v>
      </c>
      <c r="O9" s="62"/>
      <c r="P9" s="62"/>
      <c r="Q9" s="62"/>
      <c r="R9" s="64">
        <f t="shared" si="3"/>
        <v>0.9456959718160143</v>
      </c>
      <c r="S9" s="65">
        <f t="shared" si="4"/>
        <v>1208417.66</v>
      </c>
      <c r="T9" s="62"/>
      <c r="U9" s="62"/>
      <c r="V9" s="62"/>
      <c r="W9" s="62"/>
      <c r="X9" s="62"/>
      <c r="Y9" s="62"/>
      <c r="Z9" s="43"/>
    </row>
    <row r="10" spans="1:26" ht="12.75">
      <c r="A10" s="42">
        <v>2</v>
      </c>
      <c r="B10" s="42">
        <v>2017</v>
      </c>
      <c r="C10" s="44">
        <v>1277216.2533333339</v>
      </c>
      <c r="D10" s="44">
        <v>38316.487600000015</v>
      </c>
      <c r="E10" s="44">
        <v>1238899.7657333338</v>
      </c>
      <c r="F10" s="45">
        <v>-0.12456720136569766</v>
      </c>
      <c r="G10" s="42">
        <v>3</v>
      </c>
      <c r="H10" s="42">
        <v>2017</v>
      </c>
      <c r="I10" s="44">
        <v>1238899.7657333338</v>
      </c>
      <c r="J10" s="23"/>
      <c r="K10" s="89"/>
      <c r="L10" s="70">
        <f t="shared" si="0"/>
        <v>1</v>
      </c>
      <c r="M10" s="67">
        <f t="shared" si="1"/>
        <v>42767</v>
      </c>
      <c r="N10" s="63">
        <f t="shared" si="2"/>
        <v>42767</v>
      </c>
      <c r="O10" s="62"/>
      <c r="P10" s="62"/>
      <c r="Q10" s="62"/>
      <c r="R10" s="64">
        <f t="shared" si="3"/>
        <v>0.8754327986343023</v>
      </c>
      <c r="S10" s="65">
        <f t="shared" si="4"/>
        <v>1458954.08</v>
      </c>
      <c r="T10" s="62"/>
      <c r="U10" s="62"/>
      <c r="V10" s="62"/>
      <c r="W10" s="62"/>
      <c r="X10" s="62"/>
      <c r="Y10" s="62"/>
      <c r="Z10" s="43"/>
    </row>
    <row r="11" spans="1:26" ht="14.25" customHeight="1">
      <c r="A11" s="42">
        <v>3</v>
      </c>
      <c r="B11" s="42">
        <v>2017</v>
      </c>
      <c r="C11" s="44">
        <v>1400215.8800000006</v>
      </c>
      <c r="D11" s="44">
        <v>42006.476400000014</v>
      </c>
      <c r="E11" s="44">
        <v>1358209.4036000005</v>
      </c>
      <c r="F11" s="45">
        <v>-0.06586886732887831</v>
      </c>
      <c r="G11" s="42">
        <v>4</v>
      </c>
      <c r="H11" s="42">
        <v>2017</v>
      </c>
      <c r="I11" s="44">
        <v>1358209.4036000005</v>
      </c>
      <c r="J11" s="23"/>
      <c r="K11" s="89"/>
      <c r="L11" s="70">
        <f>IF(A11&gt;0,1,0)</f>
        <v>1</v>
      </c>
      <c r="M11" s="67">
        <f>DATE(B11,A11,1)</f>
        <v>42795</v>
      </c>
      <c r="N11" s="63">
        <f t="shared" si="2"/>
        <v>42795</v>
      </c>
      <c r="O11" s="62"/>
      <c r="P11" s="62"/>
      <c r="Q11" s="62"/>
      <c r="R11" s="64">
        <f t="shared" si="3"/>
        <v>0.9341311326711217</v>
      </c>
      <c r="S11" s="65">
        <f t="shared" si="4"/>
        <v>1498950.02</v>
      </c>
      <c r="T11" s="62"/>
      <c r="U11" s="62"/>
      <c r="V11" s="62"/>
      <c r="W11" s="62"/>
      <c r="X11" s="62"/>
      <c r="Y11" s="62"/>
      <c r="Z11" s="43"/>
    </row>
    <row r="12" spans="1:26" ht="12.75">
      <c r="A12" s="42">
        <v>4</v>
      </c>
      <c r="B12" s="42">
        <v>2017</v>
      </c>
      <c r="C12" s="44">
        <v>1535336.0133333341</v>
      </c>
      <c r="D12" s="44">
        <v>46060.08040000002</v>
      </c>
      <c r="E12" s="44">
        <v>1489275.932933334</v>
      </c>
      <c r="F12" s="45">
        <v>0.001663665627976929</v>
      </c>
      <c r="G12" s="42">
        <v>5</v>
      </c>
      <c r="H12" s="42">
        <v>2017</v>
      </c>
      <c r="I12" s="44">
        <v>1489275.932933334</v>
      </c>
      <c r="J12" s="23"/>
      <c r="K12" s="89"/>
      <c r="L12" s="70">
        <f>IF(A12&gt;0,1,0)</f>
        <v>1</v>
      </c>
      <c r="M12" s="67">
        <f>DATE(B12,A12,1)</f>
        <v>42826</v>
      </c>
      <c r="N12" s="63">
        <f t="shared" si="2"/>
        <v>42826</v>
      </c>
      <c r="O12" s="62"/>
      <c r="P12" s="62"/>
      <c r="Q12" s="62"/>
      <c r="R12" s="64">
        <f t="shared" si="3"/>
        <v>1.001663665627977</v>
      </c>
      <c r="S12" s="65">
        <f t="shared" si="4"/>
        <v>1532785.9699999997</v>
      </c>
      <c r="T12" s="62"/>
      <c r="U12" s="62"/>
      <c r="V12" s="62"/>
      <c r="W12" s="62"/>
      <c r="X12" s="62"/>
      <c r="Y12" s="62"/>
      <c r="Z12" s="43"/>
    </row>
    <row r="13" spans="1:26" ht="12.75">
      <c r="A13" s="42">
        <v>5</v>
      </c>
      <c r="B13" s="42">
        <v>2017</v>
      </c>
      <c r="C13" s="44">
        <v>1184423.0666666673</v>
      </c>
      <c r="D13" s="44">
        <v>35532.69200000002</v>
      </c>
      <c r="E13" s="44">
        <v>1148890.3746666673</v>
      </c>
      <c r="F13" s="45">
        <v>0.04587078068403594</v>
      </c>
      <c r="G13" s="42">
        <v>6</v>
      </c>
      <c r="H13" s="42">
        <v>2017</v>
      </c>
      <c r="I13" s="44">
        <v>1148890.3746666673</v>
      </c>
      <c r="J13" s="23"/>
      <c r="K13" s="89"/>
      <c r="L13" s="70">
        <f>IF(A13&gt;0,1,0)</f>
        <v>1</v>
      </c>
      <c r="M13" s="67">
        <f>DATE(B13,A13,1)</f>
        <v>42856</v>
      </c>
      <c r="N13" s="63">
        <f t="shared" si="2"/>
        <v>42856</v>
      </c>
      <c r="O13" s="62"/>
      <c r="P13" s="62"/>
      <c r="Q13" s="62"/>
      <c r="R13" s="64">
        <f t="shared" si="3"/>
        <v>1.045870780684036</v>
      </c>
      <c r="S13" s="65">
        <f>IF(L13=1,C13/R13,0)</f>
        <v>1132475.53</v>
      </c>
      <c r="T13" s="62"/>
      <c r="U13" s="62"/>
      <c r="V13" s="62"/>
      <c r="W13" s="62"/>
      <c r="X13" s="62"/>
      <c r="Y13" s="62"/>
      <c r="Z13" s="43"/>
    </row>
    <row r="14" spans="1:26" ht="12.75">
      <c r="A14" s="42">
        <v>6</v>
      </c>
      <c r="B14" s="42">
        <v>2017</v>
      </c>
      <c r="C14" s="44">
        <v>1088148.3966666672</v>
      </c>
      <c r="D14" s="44">
        <v>32644.451900000015</v>
      </c>
      <c r="E14" s="44">
        <v>1055503.9447666672</v>
      </c>
      <c r="F14" s="45">
        <v>0.0951346107919846</v>
      </c>
      <c r="G14" s="42">
        <v>7</v>
      </c>
      <c r="H14" s="42">
        <v>2017</v>
      </c>
      <c r="I14" s="44">
        <v>1055503.9447666672</v>
      </c>
      <c r="J14" s="23"/>
      <c r="K14" s="89"/>
      <c r="L14" s="70">
        <f>IF(A14&gt;0,1,0)</f>
        <v>1</v>
      </c>
      <c r="M14" s="67">
        <f>DATE(B14,A14,1)</f>
        <v>42887</v>
      </c>
      <c r="N14" s="63">
        <f t="shared" si="2"/>
        <v>42887</v>
      </c>
      <c r="O14" s="62"/>
      <c r="P14" s="62"/>
      <c r="Q14" s="62"/>
      <c r="R14" s="64">
        <f t="shared" si="3"/>
        <v>1.0951346107919846</v>
      </c>
      <c r="S14" s="65">
        <f t="shared" si="4"/>
        <v>993620.68</v>
      </c>
      <c r="T14" s="62"/>
      <c r="U14" s="62"/>
      <c r="V14" s="62"/>
      <c r="W14" s="62"/>
      <c r="X14" s="62"/>
      <c r="Y14" s="62"/>
      <c r="Z14" s="43"/>
    </row>
    <row r="15" spans="1:26" ht="12.75">
      <c r="A15" s="42">
        <v>7</v>
      </c>
      <c r="B15" s="42">
        <v>2017</v>
      </c>
      <c r="C15" s="44">
        <v>890999.4166666671</v>
      </c>
      <c r="D15" s="44">
        <v>26729.982500000013</v>
      </c>
      <c r="E15" s="44">
        <v>864269.434166667</v>
      </c>
      <c r="F15" s="45">
        <v>0.12915221975018198</v>
      </c>
      <c r="G15" s="42">
        <v>8</v>
      </c>
      <c r="H15" s="42">
        <v>2017</v>
      </c>
      <c r="I15" s="44">
        <v>864269.434166667</v>
      </c>
      <c r="J15" s="85"/>
      <c r="K15" s="89"/>
      <c r="L15" s="70">
        <f>IF(A15&gt;0,1,0)</f>
        <v>1</v>
      </c>
      <c r="M15" s="67">
        <f>DATE(B15,A15,1)</f>
        <v>42917</v>
      </c>
      <c r="N15" s="63">
        <f t="shared" si="2"/>
        <v>42917</v>
      </c>
      <c r="O15" s="62"/>
      <c r="P15" s="62"/>
      <c r="Q15" s="62"/>
      <c r="R15" s="64">
        <f t="shared" si="3"/>
        <v>1.129152219750182</v>
      </c>
      <c r="S15" s="65">
        <f t="shared" si="4"/>
        <v>789087.0699999998</v>
      </c>
      <c r="T15" s="62"/>
      <c r="U15" s="62"/>
      <c r="V15" s="62"/>
      <c r="W15" s="62"/>
      <c r="X15" s="62"/>
      <c r="Y15" s="62"/>
      <c r="Z15" s="43"/>
    </row>
    <row r="16" spans="1:26" ht="12.75">
      <c r="A16" s="42">
        <v>8</v>
      </c>
      <c r="B16" s="42">
        <v>2017</v>
      </c>
      <c r="C16" s="44">
        <v>1042983.9233333338</v>
      </c>
      <c r="D16" s="44">
        <v>31289.51770000001</v>
      </c>
      <c r="E16" s="44">
        <v>1011694.4056333338</v>
      </c>
      <c r="F16" s="45">
        <v>0.115409241171476</v>
      </c>
      <c r="G16" s="42">
        <v>9</v>
      </c>
      <c r="H16" s="42">
        <v>2017</v>
      </c>
      <c r="I16" s="44">
        <v>1011694.4056333338</v>
      </c>
      <c r="J16" s="23"/>
      <c r="K16" s="62"/>
      <c r="L16" s="70">
        <f t="shared" si="0"/>
        <v>1</v>
      </c>
      <c r="M16" s="67">
        <f t="shared" si="1"/>
        <v>42948</v>
      </c>
      <c r="N16" s="63">
        <f t="shared" si="2"/>
        <v>42948</v>
      </c>
      <c r="O16" s="62"/>
      <c r="P16" s="62"/>
      <c r="Q16" s="62"/>
      <c r="R16" s="64">
        <f t="shared" si="3"/>
        <v>1.115409241171476</v>
      </c>
      <c r="S16" s="65">
        <f t="shared" si="4"/>
        <v>935068.39</v>
      </c>
      <c r="T16" s="62"/>
      <c r="U16" s="62"/>
      <c r="V16" s="62"/>
      <c r="W16" s="62"/>
      <c r="X16" s="62"/>
      <c r="Y16" s="62"/>
      <c r="Z16" s="43"/>
    </row>
    <row r="17" spans="1:26" ht="12.75">
      <c r="A17" s="42">
        <v>9</v>
      </c>
      <c r="B17" s="42">
        <v>2017</v>
      </c>
      <c r="C17" s="44">
        <v>881395.6866666671</v>
      </c>
      <c r="D17" s="44">
        <v>26441.870600000013</v>
      </c>
      <c r="E17" s="44">
        <v>854953.8160666671</v>
      </c>
      <c r="F17" s="45">
        <v>0.08139551580195059</v>
      </c>
      <c r="G17" s="42">
        <v>10</v>
      </c>
      <c r="H17" s="42">
        <v>2017</v>
      </c>
      <c r="I17" s="44">
        <v>854953.8160666671</v>
      </c>
      <c r="J17" s="23"/>
      <c r="K17" s="62"/>
      <c r="L17" s="70">
        <f t="shared" si="0"/>
        <v>1</v>
      </c>
      <c r="M17" s="67">
        <f t="shared" si="1"/>
        <v>42979</v>
      </c>
      <c r="N17" s="63">
        <f t="shared" si="2"/>
        <v>42979</v>
      </c>
      <c r="O17" s="62"/>
      <c r="P17" s="62"/>
      <c r="Q17" s="62"/>
      <c r="R17" s="64">
        <f t="shared" si="3"/>
        <v>1.0813955158019506</v>
      </c>
      <c r="S17" s="65">
        <f t="shared" si="4"/>
        <v>815053.9499999998</v>
      </c>
      <c r="T17" s="62"/>
      <c r="U17" s="62"/>
      <c r="V17" s="62"/>
      <c r="W17" s="62"/>
      <c r="X17" s="62"/>
      <c r="Y17" s="62"/>
      <c r="Z17" s="43"/>
    </row>
    <row r="18" spans="1:26" ht="12.75">
      <c r="A18" s="7"/>
      <c r="B18" s="7"/>
      <c r="C18" s="8">
        <f>SUM(C6:C17)</f>
        <v>13085395.120000008</v>
      </c>
      <c r="D18" s="8">
        <f>SUM(D6:D17)</f>
        <v>392561.8536000002</v>
      </c>
      <c r="E18" s="8">
        <f>SUM(E6:E17)</f>
        <v>12692833.266400006</v>
      </c>
      <c r="F18" s="9">
        <f>(C18/S18)-1</f>
        <v>-0.003201575679180113</v>
      </c>
      <c r="G18" s="7"/>
      <c r="H18" s="7"/>
      <c r="I18" s="8">
        <f>SUM(I6:I17)</f>
        <v>12692833.266400006</v>
      </c>
      <c r="J18" s="43"/>
      <c r="K18" s="43"/>
      <c r="L18" s="70">
        <f>SUM(L6:L17)</f>
        <v>12</v>
      </c>
      <c r="M18" s="62"/>
      <c r="N18" s="62"/>
      <c r="O18" s="62"/>
      <c r="P18" s="62"/>
      <c r="Q18" s="66">
        <f>(F6+F7+F8+F9+F10+F11+F12+F13+F14+F15+F16+F17)/L18</f>
        <v>0.007868679777426326</v>
      </c>
      <c r="R18" s="62"/>
      <c r="S18" s="65">
        <f>SUM(S6:S17)</f>
        <v>13127423.56</v>
      </c>
      <c r="T18" s="62"/>
      <c r="U18" s="62"/>
      <c r="V18" s="62"/>
      <c r="W18" s="62"/>
      <c r="X18" s="62"/>
      <c r="Y18" s="62"/>
      <c r="Z18" s="43"/>
    </row>
    <row r="19" spans="11:26" ht="12.75"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43"/>
    </row>
    <row r="20" spans="2:26" ht="12.75">
      <c r="B20" t="s">
        <v>73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43"/>
    </row>
    <row r="21" spans="11:26" ht="12.75"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43"/>
    </row>
    <row r="22" spans="11:26" ht="12.75"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43"/>
    </row>
    <row r="23" spans="11:26" ht="12.75"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43"/>
    </row>
    <row r="24" spans="11:26" ht="12.75"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43"/>
    </row>
    <row r="25" spans="11:26" ht="12.75">
      <c r="K25" s="97">
        <f>+K6/I6</f>
        <v>0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43"/>
    </row>
    <row r="26" spans="11:26" ht="12.75">
      <c r="K26" s="97">
        <f>+K7/I7</f>
        <v>0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43"/>
    </row>
    <row r="27" spans="11:26" ht="12.75">
      <c r="K27" s="97">
        <f>+K8/I8</f>
        <v>0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43"/>
    </row>
    <row r="28" spans="11:26" ht="12.75">
      <c r="K28" s="6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1:26" ht="12.75">
      <c r="K29" s="6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1:26" ht="12.75">
      <c r="K30" s="6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1:26" ht="12.75">
      <c r="K31" s="6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1:26" ht="12.75">
      <c r="K32" s="6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1:26" ht="12.75">
      <c r="K33" s="6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>
      <c r="K34" s="62"/>
    </row>
    <row r="35" ht="12.75">
      <c r="K35" s="62"/>
    </row>
    <row r="36" ht="12.75">
      <c r="K36" s="62"/>
    </row>
    <row r="37" ht="12.75">
      <c r="K37" s="62"/>
    </row>
    <row r="38" ht="12.75">
      <c r="K38" s="62"/>
    </row>
    <row r="39" ht="12.75">
      <c r="K39" s="62"/>
    </row>
    <row r="40" ht="12.75">
      <c r="K40" s="62"/>
    </row>
    <row r="41" ht="12.75">
      <c r="K41" s="43"/>
    </row>
    <row r="42" ht="12.75">
      <c r="K42" s="43"/>
    </row>
    <row r="43" ht="12.75">
      <c r="K43" s="43"/>
    </row>
    <row r="44" ht="12.75">
      <c r="K44" s="43"/>
    </row>
    <row r="45" ht="12.75">
      <c r="K45" s="43"/>
    </row>
    <row r="46" ht="12.75">
      <c r="K46" s="43"/>
    </row>
    <row r="47" ht="12.75">
      <c r="K47" s="43"/>
    </row>
    <row r="48" ht="12.75">
      <c r="K48" s="43"/>
    </row>
    <row r="49" ht="12.75">
      <c r="K49" s="43"/>
    </row>
    <row r="50" ht="12.75">
      <c r="K50" s="43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96"/>
      <c r="L51" s="3"/>
    </row>
    <row r="52" spans="1:12" ht="12.75">
      <c r="A52" s="3" t="s">
        <v>67</v>
      </c>
      <c r="B52" s="3"/>
      <c r="C52" s="3"/>
      <c r="D52" s="3"/>
      <c r="E52" s="3"/>
      <c r="F52" s="3"/>
      <c r="G52" s="3"/>
      <c r="H52" s="3"/>
      <c r="I52" s="3"/>
      <c r="J52" s="3"/>
      <c r="K52" s="96"/>
      <c r="L52" s="3"/>
    </row>
    <row r="53" spans="1:12" ht="12.75">
      <c r="A53" s="3" t="s">
        <v>65</v>
      </c>
      <c r="B53" s="3"/>
      <c r="C53" s="3"/>
      <c r="D53" s="3" t="str">
        <f>+B56</f>
        <v>2016-2017</v>
      </c>
      <c r="E53" s="3" t="s">
        <v>64</v>
      </c>
      <c r="F53" s="3"/>
      <c r="G53" s="3"/>
      <c r="H53" s="3"/>
      <c r="I53" s="3"/>
      <c r="J53" s="3"/>
      <c r="K53" s="96"/>
      <c r="L53" s="3"/>
    </row>
    <row r="54" spans="1:11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66</v>
      </c>
      <c r="K54" s="43"/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5">
        <v>1</v>
      </c>
      <c r="B56" t="str">
        <f>+C3&amp;"-"&amp;(C3+1)</f>
        <v>2016-2017</v>
      </c>
      <c r="C56" s="26">
        <f>+C6+C7+C8</f>
        <v>2641880.7700000014</v>
      </c>
      <c r="D56" s="26">
        <f>+D6+D7+D8</f>
        <v>79256.42310000003</v>
      </c>
      <c r="E56" s="26">
        <f>+E6+E7+E8</f>
        <v>2562624.346900001</v>
      </c>
      <c r="F56" s="27">
        <f>(F6+F7+F8)/O56</f>
        <v>-0.04315392653997615</v>
      </c>
      <c r="G56" s="25">
        <v>1</v>
      </c>
      <c r="H56" s="41" t="str">
        <f>+$B$56</f>
        <v>2016-2017</v>
      </c>
      <c r="I56" s="26">
        <f>+I6+I7+I8</f>
        <v>2562624.346900001</v>
      </c>
      <c r="J56" s="26"/>
      <c r="K56" s="26"/>
      <c r="L56" s="29">
        <f>+L6+L7+L8</f>
        <v>3</v>
      </c>
      <c r="O56" s="28">
        <f>+L6+L7+L8</f>
        <v>3</v>
      </c>
    </row>
    <row r="57" spans="1:15" ht="12.75">
      <c r="A57" s="25">
        <v>2</v>
      </c>
      <c r="B57" s="41" t="str">
        <f>+$B$56</f>
        <v>2016-2017</v>
      </c>
      <c r="C57" s="26">
        <f>+C9+C10+C11</f>
        <v>3820227.8466666685</v>
      </c>
      <c r="D57" s="26">
        <f>+D9+D10+D11</f>
        <v>114606.83540000004</v>
      </c>
      <c r="E57" s="26">
        <f>+E9+E10+E11</f>
        <v>3705621.0112666683</v>
      </c>
      <c r="F57" s="27">
        <f>(F7+F8+F9)/O57</f>
        <v>-0.05430734533460091</v>
      </c>
      <c r="G57" s="25">
        <v>2</v>
      </c>
      <c r="H57" s="41" t="str">
        <f>+$B$56</f>
        <v>2016-2017</v>
      </c>
      <c r="I57" s="26">
        <f>+I9+I10+I11</f>
        <v>3705621.0112666683</v>
      </c>
      <c r="J57" s="26"/>
      <c r="K57" s="26"/>
      <c r="L57" s="29">
        <f>+L9+L10+L11</f>
        <v>3</v>
      </c>
      <c r="O57" s="28">
        <v>3</v>
      </c>
    </row>
    <row r="58" spans="1:15" ht="12.75">
      <c r="A58" s="25">
        <v>3</v>
      </c>
      <c r="B58" s="41" t="str">
        <f>+$B$56</f>
        <v>2016-2017</v>
      </c>
      <c r="C58" s="26">
        <f>+C12+C13+C14</f>
        <v>3807907.4766666684</v>
      </c>
      <c r="D58" s="26">
        <f>+D12+D13+D14</f>
        <v>114237.22430000006</v>
      </c>
      <c r="E58" s="26">
        <f>+E12+E13+E14</f>
        <v>3693670.2523666685</v>
      </c>
      <c r="F58" s="27">
        <f>+F12+F13+F14/O58</f>
        <v>0.14266905710399747</v>
      </c>
      <c r="G58" s="25">
        <v>3</v>
      </c>
      <c r="H58" s="41" t="str">
        <f>+$B$56</f>
        <v>2016-2017</v>
      </c>
      <c r="I58" s="26">
        <f>+I12+I13+I14</f>
        <v>3693670.2523666685</v>
      </c>
      <c r="J58" s="26"/>
      <c r="K58" s="26"/>
      <c r="L58" s="29">
        <f>+L12+L13+L14</f>
        <v>3</v>
      </c>
      <c r="O58" s="28">
        <v>1</v>
      </c>
    </row>
    <row r="59" spans="1:15" ht="12.75">
      <c r="A59" s="25">
        <v>4</v>
      </c>
      <c r="B59" s="41" t="str">
        <f>+$B$56</f>
        <v>2016-2017</v>
      </c>
      <c r="C59" s="26">
        <f>+C15+C16+C17</f>
        <v>2815379.026666668</v>
      </c>
      <c r="D59" s="26">
        <f>+D15+D16+D17</f>
        <v>84461.37080000003</v>
      </c>
      <c r="E59" s="26">
        <f>+E15+E16+E17</f>
        <v>2730917.655866668</v>
      </c>
      <c r="F59" s="27">
        <v>0</v>
      </c>
      <c r="G59" s="25">
        <v>4</v>
      </c>
      <c r="H59" s="41" t="str">
        <f>+$B$56</f>
        <v>2016-2017</v>
      </c>
      <c r="I59" s="26">
        <f>+I15+I16+I17</f>
        <v>2730917.655866668</v>
      </c>
      <c r="J59" s="26"/>
      <c r="K59" s="26"/>
      <c r="L59" s="29">
        <f>+L15+L16+L17</f>
        <v>3</v>
      </c>
      <c r="O59" s="28">
        <v>0</v>
      </c>
    </row>
    <row r="60" spans="1:12" ht="12.75">
      <c r="A60" s="4"/>
      <c r="B60" s="4"/>
      <c r="C60" s="5">
        <f>SUM(C48:C59)</f>
        <v>13085395.120000005</v>
      </c>
      <c r="D60" s="5">
        <f>SUM(D48:D59)</f>
        <v>392561.85360000015</v>
      </c>
      <c r="E60" s="5">
        <f>SUM(E48:E59)</f>
        <v>12692833.266400006</v>
      </c>
      <c r="F60" s="6">
        <f>+F18</f>
        <v>-0.003201575679180113</v>
      </c>
      <c r="G60" s="4"/>
      <c r="H60" s="4"/>
      <c r="I60" s="5">
        <f>SUM(I48:I59)</f>
        <v>12692833.266400006</v>
      </c>
      <c r="J60" s="5"/>
      <c r="K60" s="5"/>
      <c r="L60" s="30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9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4.00390625" style="0" customWidth="1"/>
    <col min="9" max="9" width="16.140625" style="0" customWidth="1"/>
    <col min="13" max="13" width="9.28125" style="0" bestFit="1" customWidth="1"/>
    <col min="14" max="14" width="12.140625" style="0" customWidth="1"/>
    <col min="15" max="15" width="10.00390625" style="0" bestFit="1" customWidth="1"/>
    <col min="18" max="18" width="9.421875" style="0" bestFit="1" customWidth="1"/>
    <col min="19" max="19" width="10.421875" style="0" bestFit="1" customWidth="1"/>
  </cols>
  <sheetData>
    <row r="1" spans="1:30" ht="12.75">
      <c r="A1" s="15"/>
      <c r="B1" s="12"/>
      <c r="C1" s="12" t="s">
        <v>40</v>
      </c>
      <c r="D1" s="12"/>
      <c r="E1" s="12"/>
      <c r="F1" s="12"/>
      <c r="G1" s="12"/>
      <c r="H1" s="12"/>
      <c r="I1" s="1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3" ht="12.75">
      <c r="A2" s="12" t="s">
        <v>53</v>
      </c>
      <c r="B2" s="12"/>
      <c r="C2" s="12" t="s">
        <v>41</v>
      </c>
      <c r="D2" s="12"/>
      <c r="E2" s="12"/>
      <c r="F2" s="12"/>
      <c r="G2" s="12"/>
      <c r="H2" s="12"/>
      <c r="I2" s="12"/>
      <c r="L2" s="62"/>
      <c r="M2" s="62"/>
      <c r="N2" s="62">
        <f>+B6-1</f>
        <v>2015</v>
      </c>
      <c r="O2" s="62" t="s">
        <v>3</v>
      </c>
      <c r="P2" s="62">
        <f>+B6</f>
        <v>2016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43"/>
      <c r="AF2" s="43"/>
      <c r="AG2" s="43"/>
    </row>
    <row r="3" spans="1:33" ht="12.75">
      <c r="A3" s="12"/>
      <c r="B3" s="12"/>
      <c r="C3" s="12" t="s">
        <v>26</v>
      </c>
      <c r="D3" s="12">
        <f>+B6</f>
        <v>2016</v>
      </c>
      <c r="E3" s="12" t="s">
        <v>3</v>
      </c>
      <c r="F3" s="12">
        <f>+B6+1</f>
        <v>2017</v>
      </c>
      <c r="G3" s="12"/>
      <c r="H3" s="12"/>
      <c r="I3" s="1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43"/>
      <c r="AF3" s="43"/>
      <c r="AG3" s="43"/>
    </row>
    <row r="4" spans="1:33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79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43"/>
      <c r="AF4" s="43"/>
      <c r="AG4" s="43"/>
    </row>
    <row r="5" spans="1:33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43"/>
      <c r="AF5" s="43"/>
      <c r="AG5" s="43"/>
    </row>
    <row r="6" spans="1:33" ht="12.75">
      <c r="A6" s="42">
        <v>10</v>
      </c>
      <c r="B6" s="42">
        <v>2016</v>
      </c>
      <c r="C6" s="44">
        <v>498161.4</v>
      </c>
      <c r="D6" s="44">
        <v>14944.842</v>
      </c>
      <c r="E6" s="44">
        <v>483216.558</v>
      </c>
      <c r="F6" s="45">
        <v>-0.06938392496015489</v>
      </c>
      <c r="G6" s="42">
        <v>11</v>
      </c>
      <c r="H6" s="42">
        <v>2016</v>
      </c>
      <c r="I6" s="44">
        <v>483216.558</v>
      </c>
      <c r="J6" s="43"/>
      <c r="L6" s="62"/>
      <c r="M6" s="62">
        <f aca="true" t="shared" si="0" ref="M6:M17">IF(A6&gt;0,1,0)</f>
        <v>1</v>
      </c>
      <c r="N6" s="67">
        <f>DATE(B6,A6,1)</f>
        <v>42644</v>
      </c>
      <c r="O6" s="63">
        <f>IF(B6&gt;0,N6," ")</f>
        <v>42644</v>
      </c>
      <c r="P6" s="62"/>
      <c r="Q6" s="62"/>
      <c r="R6" s="64">
        <f>IF(M6=1,(F6+1),0)</f>
        <v>0.9306160750398451</v>
      </c>
      <c r="S6" s="65">
        <f>IF(M6=1,C6/R6,0)</f>
        <v>535302.81</v>
      </c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43"/>
      <c r="AF6" s="43"/>
      <c r="AG6" s="43"/>
    </row>
    <row r="7" spans="1:33" ht="12.75">
      <c r="A7" s="42">
        <v>11</v>
      </c>
      <c r="B7" s="42">
        <v>2016</v>
      </c>
      <c r="C7" s="44">
        <v>556734.45</v>
      </c>
      <c r="D7" s="44">
        <v>16702.033499999998</v>
      </c>
      <c r="E7" s="44">
        <v>540032.4164999999</v>
      </c>
      <c r="F7" s="45">
        <v>-0.14730841897283875</v>
      </c>
      <c r="G7" s="42">
        <v>12</v>
      </c>
      <c r="H7" s="42">
        <v>2016</v>
      </c>
      <c r="I7" s="44">
        <v>540032.4164999999</v>
      </c>
      <c r="L7" s="62"/>
      <c r="M7" s="62">
        <f t="shared" si="0"/>
        <v>1</v>
      </c>
      <c r="N7" s="67">
        <f aca="true" t="shared" si="1" ref="N7:N17">DATE(B7,A7,1)</f>
        <v>42675</v>
      </c>
      <c r="O7" s="63">
        <f aca="true" t="shared" si="2" ref="O7:O17">IF(B7&gt;0,N7," ")</f>
        <v>42675</v>
      </c>
      <c r="P7" s="62"/>
      <c r="Q7" s="62"/>
      <c r="R7" s="64">
        <f aca="true" t="shared" si="3" ref="R7:R17">IF(M7=1,(F7+1),0)</f>
        <v>0.8526915810271612</v>
      </c>
      <c r="S7" s="65">
        <f aca="true" t="shared" si="4" ref="S7:S17">IF(M7=1,C7/R7,0)</f>
        <v>652914.21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43"/>
      <c r="AF7" s="43"/>
      <c r="AG7" s="43"/>
    </row>
    <row r="8" spans="1:33" ht="12.75">
      <c r="A8" s="42">
        <v>12</v>
      </c>
      <c r="B8" s="42">
        <v>2016</v>
      </c>
      <c r="C8" s="44">
        <v>690134.93</v>
      </c>
      <c r="D8" s="44">
        <v>20704.0479</v>
      </c>
      <c r="E8" s="44">
        <v>669430.8821</v>
      </c>
      <c r="F8" s="45">
        <v>-0.011607814430903973</v>
      </c>
      <c r="G8" s="42">
        <v>1</v>
      </c>
      <c r="H8" s="42">
        <v>2017</v>
      </c>
      <c r="I8" s="44">
        <v>669430.8821</v>
      </c>
      <c r="L8" s="62"/>
      <c r="M8" s="62">
        <f t="shared" si="0"/>
        <v>1</v>
      </c>
      <c r="N8" s="67">
        <f t="shared" si="1"/>
        <v>42705</v>
      </c>
      <c r="O8" s="63">
        <f t="shared" si="2"/>
        <v>42705</v>
      </c>
      <c r="P8" s="62"/>
      <c r="Q8" s="62"/>
      <c r="R8" s="64">
        <f t="shared" si="3"/>
        <v>0.988392185569096</v>
      </c>
      <c r="S8" s="65">
        <f t="shared" si="4"/>
        <v>698239.97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43"/>
      <c r="AF8" s="43"/>
      <c r="AG8" s="43"/>
    </row>
    <row r="9" spans="1:33" ht="12.75">
      <c r="A9" s="42">
        <v>1</v>
      </c>
      <c r="B9" s="42">
        <v>2017</v>
      </c>
      <c r="C9" s="44">
        <v>750302.57</v>
      </c>
      <c r="D9" s="44">
        <v>22509.0771</v>
      </c>
      <c r="E9" s="44">
        <v>727793.4929</v>
      </c>
      <c r="F9" s="45">
        <v>0.04908084795028289</v>
      </c>
      <c r="G9" s="42">
        <v>2</v>
      </c>
      <c r="H9" s="42">
        <v>2017</v>
      </c>
      <c r="I9" s="44">
        <v>727793.4929</v>
      </c>
      <c r="L9" s="62"/>
      <c r="M9" s="62">
        <f t="shared" si="0"/>
        <v>1</v>
      </c>
      <c r="N9" s="67">
        <f t="shared" si="1"/>
        <v>42736</v>
      </c>
      <c r="O9" s="63">
        <f t="shared" si="2"/>
        <v>42736</v>
      </c>
      <c r="P9" s="62"/>
      <c r="Q9" s="62"/>
      <c r="R9" s="64">
        <f t="shared" si="3"/>
        <v>1.049080847950283</v>
      </c>
      <c r="S9" s="65">
        <f t="shared" si="4"/>
        <v>715199.9500000001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43"/>
      <c r="AF9" s="43"/>
      <c r="AG9" s="43"/>
    </row>
    <row r="10" spans="1:33" ht="12.75">
      <c r="A10" s="42">
        <v>2</v>
      </c>
      <c r="B10" s="42">
        <v>2017</v>
      </c>
      <c r="C10" s="44">
        <v>743676.35</v>
      </c>
      <c r="D10" s="44">
        <v>22310.2905</v>
      </c>
      <c r="E10" s="44">
        <v>721366.0595</v>
      </c>
      <c r="F10" s="45">
        <v>-0.10192106003397594</v>
      </c>
      <c r="G10" s="42">
        <v>3</v>
      </c>
      <c r="H10" s="42">
        <v>2017</v>
      </c>
      <c r="I10" s="44">
        <v>721366.0595</v>
      </c>
      <c r="L10" s="62"/>
      <c r="M10" s="62">
        <f t="shared" si="0"/>
        <v>1</v>
      </c>
      <c r="N10" s="67">
        <f t="shared" si="1"/>
        <v>42767</v>
      </c>
      <c r="O10" s="63">
        <f t="shared" si="2"/>
        <v>42767</v>
      </c>
      <c r="P10" s="62"/>
      <c r="Q10" s="62"/>
      <c r="R10" s="64">
        <f t="shared" si="3"/>
        <v>0.8980789399660241</v>
      </c>
      <c r="S10" s="65">
        <f t="shared" si="4"/>
        <v>828074.59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43"/>
      <c r="AF10" s="43"/>
      <c r="AG10" s="43"/>
    </row>
    <row r="11" spans="1:33" ht="12.75">
      <c r="A11" s="42">
        <v>3</v>
      </c>
      <c r="B11" s="42">
        <v>2017</v>
      </c>
      <c r="C11" s="44">
        <v>804568.71</v>
      </c>
      <c r="D11" s="44">
        <v>24137.061299999998</v>
      </c>
      <c r="E11" s="44">
        <v>780431.6487</v>
      </c>
      <c r="F11" s="45">
        <v>-0.026131908772536128</v>
      </c>
      <c r="G11" s="42">
        <v>4</v>
      </c>
      <c r="H11" s="42">
        <v>2017</v>
      </c>
      <c r="I11" s="44">
        <v>780431.6486999999</v>
      </c>
      <c r="L11" s="62"/>
      <c r="M11" s="62">
        <f t="shared" si="0"/>
        <v>1</v>
      </c>
      <c r="N11" s="67">
        <f t="shared" si="1"/>
        <v>42795</v>
      </c>
      <c r="O11" s="63">
        <f t="shared" si="2"/>
        <v>42795</v>
      </c>
      <c r="P11" s="62"/>
      <c r="Q11" s="62"/>
      <c r="R11" s="64">
        <f t="shared" si="3"/>
        <v>0.9738680912274639</v>
      </c>
      <c r="S11" s="65">
        <f t="shared" si="4"/>
        <v>826157.79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43"/>
      <c r="AF11" s="43"/>
      <c r="AG11" s="43"/>
    </row>
    <row r="12" spans="1:33" ht="12.75">
      <c r="A12" s="42">
        <v>4</v>
      </c>
      <c r="B12" s="42">
        <v>2017</v>
      </c>
      <c r="C12" s="44">
        <v>813967.56</v>
      </c>
      <c r="D12" s="44">
        <v>24419.0268</v>
      </c>
      <c r="E12" s="44">
        <v>789548.5332000001</v>
      </c>
      <c r="F12" s="45">
        <v>0.004108868687376033</v>
      </c>
      <c r="G12" s="42">
        <v>5</v>
      </c>
      <c r="H12" s="42">
        <v>2017</v>
      </c>
      <c r="I12" s="44">
        <v>789548.5332000001</v>
      </c>
      <c r="L12" s="62"/>
      <c r="M12" s="62">
        <f t="shared" si="0"/>
        <v>1</v>
      </c>
      <c r="N12" s="67">
        <f t="shared" si="1"/>
        <v>42826</v>
      </c>
      <c r="O12" s="63">
        <f t="shared" si="2"/>
        <v>42826</v>
      </c>
      <c r="P12" s="62"/>
      <c r="Q12" s="62"/>
      <c r="R12" s="64">
        <f t="shared" si="3"/>
        <v>1.004108868687376</v>
      </c>
      <c r="S12" s="65">
        <f t="shared" si="4"/>
        <v>810636.7600000001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43"/>
      <c r="AF12" s="43"/>
      <c r="AG12" s="43"/>
    </row>
    <row r="13" spans="1:33" ht="12.75">
      <c r="A13" s="42">
        <v>5</v>
      </c>
      <c r="B13" s="42">
        <v>2017</v>
      </c>
      <c r="C13" s="44">
        <v>775719.25</v>
      </c>
      <c r="D13" s="44">
        <v>23271.5775</v>
      </c>
      <c r="E13" s="44">
        <v>752447.6725</v>
      </c>
      <c r="F13" s="45">
        <v>-0.008205137620492242</v>
      </c>
      <c r="G13" s="42">
        <v>6</v>
      </c>
      <c r="H13" s="42">
        <v>2017</v>
      </c>
      <c r="I13" s="44">
        <v>752447.6725</v>
      </c>
      <c r="L13" s="62"/>
      <c r="M13" s="62">
        <f t="shared" si="0"/>
        <v>1</v>
      </c>
      <c r="N13" s="67">
        <f t="shared" si="1"/>
        <v>42856</v>
      </c>
      <c r="O13" s="63">
        <f t="shared" si="2"/>
        <v>42856</v>
      </c>
      <c r="P13" s="62"/>
      <c r="Q13" s="62"/>
      <c r="R13" s="64">
        <f t="shared" si="3"/>
        <v>0.9917948623795078</v>
      </c>
      <c r="S13" s="65">
        <f t="shared" si="4"/>
        <v>782136.79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43"/>
      <c r="AF13" s="43"/>
      <c r="AG13" s="43"/>
    </row>
    <row r="14" spans="1:33" ht="12.75">
      <c r="A14" s="42">
        <v>6</v>
      </c>
      <c r="B14" s="42">
        <v>2017</v>
      </c>
      <c r="C14" s="44">
        <v>724043.28</v>
      </c>
      <c r="D14" s="44">
        <v>21721.2984</v>
      </c>
      <c r="E14" s="44">
        <v>702321.9816</v>
      </c>
      <c r="F14" s="45">
        <v>0.03852112186968082</v>
      </c>
      <c r="G14" s="42">
        <v>7</v>
      </c>
      <c r="H14" s="42">
        <v>2017</v>
      </c>
      <c r="I14" s="44">
        <v>702321.9816</v>
      </c>
      <c r="L14" s="62"/>
      <c r="M14" s="62">
        <f t="shared" si="0"/>
        <v>1</v>
      </c>
      <c r="N14" s="67">
        <f t="shared" si="1"/>
        <v>42887</v>
      </c>
      <c r="O14" s="63">
        <f t="shared" si="2"/>
        <v>42887</v>
      </c>
      <c r="P14" s="62"/>
      <c r="Q14" s="62"/>
      <c r="R14" s="64">
        <f t="shared" si="3"/>
        <v>1.0385211218696808</v>
      </c>
      <c r="S14" s="65">
        <f t="shared" si="4"/>
        <v>697186.86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43"/>
      <c r="AF14" s="43"/>
      <c r="AG14" s="43"/>
    </row>
    <row r="15" spans="1:33" ht="12.75">
      <c r="A15" s="42">
        <v>7</v>
      </c>
      <c r="B15" s="42">
        <v>2017</v>
      </c>
      <c r="C15" s="44">
        <v>603480.43</v>
      </c>
      <c r="D15" s="44">
        <v>18104.4129</v>
      </c>
      <c r="E15" s="44">
        <v>585376.0171</v>
      </c>
      <c r="F15" s="45">
        <v>0.06544169207302275</v>
      </c>
      <c r="G15" s="42">
        <v>8</v>
      </c>
      <c r="H15" s="42">
        <v>2017</v>
      </c>
      <c r="I15" s="44">
        <v>585376.0171</v>
      </c>
      <c r="L15" s="62"/>
      <c r="M15" s="62">
        <f t="shared" si="0"/>
        <v>1</v>
      </c>
      <c r="N15" s="67">
        <f t="shared" si="1"/>
        <v>42917</v>
      </c>
      <c r="O15" s="63">
        <f t="shared" si="2"/>
        <v>42917</v>
      </c>
      <c r="P15" s="62"/>
      <c r="Q15" s="62"/>
      <c r="R15" s="64">
        <f t="shared" si="3"/>
        <v>1.0654416920730228</v>
      </c>
      <c r="S15" s="65">
        <f t="shared" si="4"/>
        <v>566413.38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43"/>
      <c r="AF15" s="43"/>
      <c r="AG15" s="43"/>
    </row>
    <row r="16" spans="1:33" ht="12.75">
      <c r="A16" s="42">
        <v>8</v>
      </c>
      <c r="B16" s="42">
        <v>2017</v>
      </c>
      <c r="C16" s="44">
        <v>610912.25</v>
      </c>
      <c r="D16" s="44">
        <v>18327.3675</v>
      </c>
      <c r="E16" s="44">
        <v>592584.8825</v>
      </c>
      <c r="F16" s="45">
        <v>0.08834227968734765</v>
      </c>
      <c r="G16" s="42">
        <v>9</v>
      </c>
      <c r="H16" s="42">
        <v>2017</v>
      </c>
      <c r="I16" s="44">
        <v>592584.8825</v>
      </c>
      <c r="L16" s="62"/>
      <c r="M16" s="62">
        <f t="shared" si="0"/>
        <v>1</v>
      </c>
      <c r="N16" s="67">
        <f t="shared" si="1"/>
        <v>42948</v>
      </c>
      <c r="O16" s="63">
        <f t="shared" si="2"/>
        <v>42948</v>
      </c>
      <c r="P16" s="62"/>
      <c r="Q16" s="62"/>
      <c r="R16" s="64">
        <f t="shared" si="3"/>
        <v>1.0883422796873476</v>
      </c>
      <c r="S16" s="65">
        <f t="shared" si="4"/>
        <v>561323.64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43"/>
      <c r="AF16" s="43"/>
      <c r="AG16" s="43"/>
    </row>
    <row r="17" spans="1:30" s="43" customFormat="1" ht="12.75">
      <c r="A17" s="42">
        <v>9</v>
      </c>
      <c r="B17" s="42">
        <v>2017</v>
      </c>
      <c r="C17" s="44">
        <v>505069.06</v>
      </c>
      <c r="D17" s="44">
        <v>15152.0718</v>
      </c>
      <c r="E17" s="44">
        <v>489916.9882</v>
      </c>
      <c r="F17" s="45">
        <v>0.05547580894972515</v>
      </c>
      <c r="G17" s="42">
        <v>10</v>
      </c>
      <c r="H17" s="42">
        <v>2017</v>
      </c>
      <c r="I17" s="44">
        <v>489916.98819999996</v>
      </c>
      <c r="L17" s="62"/>
      <c r="M17" s="62">
        <f t="shared" si="0"/>
        <v>1</v>
      </c>
      <c r="N17" s="67">
        <f t="shared" si="1"/>
        <v>42979</v>
      </c>
      <c r="O17" s="63">
        <f t="shared" si="2"/>
        <v>42979</v>
      </c>
      <c r="P17" s="62"/>
      <c r="Q17" s="62"/>
      <c r="R17" s="64">
        <f t="shared" si="3"/>
        <v>1.0554758089497251</v>
      </c>
      <c r="S17" s="65">
        <f t="shared" si="4"/>
        <v>478522.63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3" ht="12.75">
      <c r="A18" s="16"/>
      <c r="B18" s="16"/>
      <c r="C18" s="17">
        <f>SUM(C6:C17)</f>
        <v>8076770.24</v>
      </c>
      <c r="D18" s="17">
        <f>SUM(D6:D17)</f>
        <v>242303.10719999997</v>
      </c>
      <c r="E18" s="17">
        <f>SUM(E6:E17)</f>
        <v>7834467.132800002</v>
      </c>
      <c r="F18" s="18">
        <f>(C18/S18)-1</f>
        <v>-0.009241674330920158</v>
      </c>
      <c r="G18" s="16"/>
      <c r="H18" s="16"/>
      <c r="I18" s="17">
        <f>SUM(I6:I17)</f>
        <v>7834467.132800001</v>
      </c>
      <c r="L18" s="62"/>
      <c r="M18" s="62">
        <f>SUM(M6:M17)</f>
        <v>12</v>
      </c>
      <c r="N18" s="62"/>
      <c r="O18" s="66">
        <f>(F6+F7+F8+F9+F10+F11+F12+F13+F14+F15+F16+F17)/M18</f>
        <v>-0.005298970464455553</v>
      </c>
      <c r="P18" s="62"/>
      <c r="Q18" s="62"/>
      <c r="R18" s="62"/>
      <c r="S18" s="65">
        <f>SUM(S6:S17)</f>
        <v>8152109.38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43"/>
      <c r="AF18" s="43"/>
      <c r="AG18" s="43"/>
    </row>
    <row r="19" spans="12:33" ht="12.75"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43"/>
      <c r="AF19" s="43"/>
      <c r="AG19" s="43"/>
    </row>
    <row r="20" spans="12:33" ht="12.75"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43"/>
      <c r="AF20" s="43"/>
      <c r="AG20" s="43"/>
    </row>
    <row r="21" spans="12:33" ht="12.75"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43"/>
      <c r="AF21" s="43"/>
      <c r="AG21" s="43"/>
    </row>
    <row r="22" spans="1:33" ht="12.75">
      <c r="A22" s="13"/>
      <c r="B22" s="13"/>
      <c r="C22" s="13" t="s">
        <v>30</v>
      </c>
      <c r="D22" s="13"/>
      <c r="E22" s="13"/>
      <c r="F22" s="13"/>
      <c r="G22" s="13"/>
      <c r="H22" s="13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43"/>
      <c r="AF22" s="43"/>
      <c r="AG22" s="43"/>
    </row>
    <row r="23" spans="1:33" ht="12.75">
      <c r="A23" s="13"/>
      <c r="B23" s="13"/>
      <c r="C23" s="13" t="s">
        <v>43</v>
      </c>
      <c r="D23" s="13"/>
      <c r="E23" s="13"/>
      <c r="F23" s="13"/>
      <c r="G23" s="13"/>
      <c r="H23" s="13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43"/>
      <c r="AF23" s="43"/>
      <c r="AG23" s="43"/>
    </row>
    <row r="24" spans="1:33" ht="12.75">
      <c r="A24" s="13"/>
      <c r="B24" s="13"/>
      <c r="C24" s="13" t="s">
        <v>32</v>
      </c>
      <c r="D24" s="13">
        <f>+B27</f>
        <v>2016</v>
      </c>
      <c r="E24" s="13" t="s">
        <v>3</v>
      </c>
      <c r="F24" s="13">
        <f>+B27+1</f>
        <v>2017</v>
      </c>
      <c r="G24" s="13"/>
      <c r="H24" s="13" t="s">
        <v>39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43"/>
      <c r="AF24" s="43"/>
      <c r="AG24" s="43"/>
    </row>
    <row r="25" spans="1:33" ht="12.75">
      <c r="A25" s="13" t="s">
        <v>33</v>
      </c>
      <c r="B25" s="13" t="s">
        <v>14</v>
      </c>
      <c r="C25" s="13" t="s">
        <v>34</v>
      </c>
      <c r="D25" s="13" t="s">
        <v>35</v>
      </c>
      <c r="E25" s="13" t="s">
        <v>44</v>
      </c>
      <c r="F25" s="13" t="s">
        <v>36</v>
      </c>
      <c r="G25" s="13" t="s">
        <v>85</v>
      </c>
      <c r="H25" s="13" t="s">
        <v>86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43"/>
      <c r="AF25" s="43"/>
      <c r="AG25" s="43"/>
    </row>
    <row r="26" spans="1:33" ht="12.75">
      <c r="A26" t="s">
        <v>14</v>
      </c>
      <c r="B26" t="s">
        <v>15</v>
      </c>
      <c r="G26" s="44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43"/>
      <c r="AF26" s="43"/>
      <c r="AG26" s="43"/>
    </row>
    <row r="27" spans="1:33" ht="12.75">
      <c r="A27" s="42">
        <v>11</v>
      </c>
      <c r="B27" s="42">
        <v>2016</v>
      </c>
      <c r="C27" s="44">
        <v>13385.0986566</v>
      </c>
      <c r="D27" s="44">
        <v>469831.4593434</v>
      </c>
      <c r="E27" s="44">
        <v>8333.333333333334</v>
      </c>
      <c r="F27" s="44">
        <v>461498.1260100667</v>
      </c>
      <c r="G27" s="44">
        <v>483216.558</v>
      </c>
      <c r="H27" s="23">
        <v>469831.4593434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43"/>
      <c r="AF27" s="43"/>
      <c r="AG27" s="43"/>
    </row>
    <row r="28" spans="1:33" ht="12.75">
      <c r="A28" s="42">
        <v>12</v>
      </c>
      <c r="B28" s="42">
        <v>2016</v>
      </c>
      <c r="C28" s="44">
        <v>14958.897937049998</v>
      </c>
      <c r="D28" s="44">
        <v>525073.51856295</v>
      </c>
      <c r="E28" s="44">
        <v>8333.333333333334</v>
      </c>
      <c r="F28" s="44">
        <v>516740.18522961665</v>
      </c>
      <c r="G28" s="44">
        <v>540032.4164999999</v>
      </c>
      <c r="H28" s="23">
        <v>525073.51856295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43"/>
      <c r="AF28" s="43"/>
      <c r="AG28" s="43"/>
    </row>
    <row r="29" spans="1:33" ht="12.75">
      <c r="A29" s="42">
        <v>1</v>
      </c>
      <c r="B29" s="42">
        <v>2017</v>
      </c>
      <c r="C29" s="44">
        <v>18543.23543417</v>
      </c>
      <c r="D29" s="44">
        <v>650887.64666583</v>
      </c>
      <c r="E29" s="44">
        <v>8333.333333333334</v>
      </c>
      <c r="F29" s="44">
        <v>642554.3133324967</v>
      </c>
      <c r="G29" s="44">
        <v>669430.8821</v>
      </c>
      <c r="H29" s="23">
        <v>650887.64666583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43"/>
      <c r="AF29" s="43"/>
      <c r="AG29" s="43"/>
    </row>
    <row r="30" spans="1:30" ht="12.75">
      <c r="A30" s="42">
        <v>2</v>
      </c>
      <c r="B30" s="42">
        <v>2017</v>
      </c>
      <c r="C30" s="44">
        <v>20159.87975333</v>
      </c>
      <c r="D30" s="44">
        <v>707633.6131466699</v>
      </c>
      <c r="E30" s="44">
        <v>8333.333333333334</v>
      </c>
      <c r="F30" s="44">
        <v>699300.2798133366</v>
      </c>
      <c r="G30" s="44">
        <v>727793.4929</v>
      </c>
      <c r="H30" s="23">
        <v>707633.6131466699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 ht="12.75">
      <c r="A31" s="42">
        <v>3</v>
      </c>
      <c r="B31" s="42">
        <v>2017</v>
      </c>
      <c r="C31" s="44">
        <v>19981.839848149997</v>
      </c>
      <c r="D31" s="44">
        <v>701384.2196518499</v>
      </c>
      <c r="E31" s="44">
        <v>8333.333333333334</v>
      </c>
      <c r="F31" s="44">
        <v>693050.8863185166</v>
      </c>
      <c r="G31" s="44">
        <v>721366.0595</v>
      </c>
      <c r="H31" s="23">
        <v>701384.2196518499</v>
      </c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spans="1:8" ht="12.75">
      <c r="A32" s="42">
        <v>4</v>
      </c>
      <c r="B32" s="42">
        <v>2017</v>
      </c>
      <c r="C32" s="44">
        <v>21617.956668989995</v>
      </c>
      <c r="D32" s="44">
        <v>758813.6920310099</v>
      </c>
      <c r="E32" s="44">
        <v>8333.333333333334</v>
      </c>
      <c r="F32" s="44">
        <v>750480.3586976766</v>
      </c>
      <c r="G32" s="44">
        <v>780431.6486999999</v>
      </c>
      <c r="H32" s="23">
        <v>758813.6920310099</v>
      </c>
    </row>
    <row r="33" spans="1:8" ht="12.75">
      <c r="A33" s="42">
        <v>5</v>
      </c>
      <c r="B33" s="42">
        <v>2017</v>
      </c>
      <c r="C33" s="44">
        <v>21870.49436964</v>
      </c>
      <c r="D33" s="44">
        <v>767678.03883036</v>
      </c>
      <c r="E33" s="44">
        <v>8333.333333333334</v>
      </c>
      <c r="F33" s="44">
        <v>759344.7054970267</v>
      </c>
      <c r="G33" s="44">
        <v>789548.5332000001</v>
      </c>
      <c r="H33" s="23">
        <v>767678.03883036</v>
      </c>
    </row>
    <row r="34" spans="1:8" ht="12.75">
      <c r="A34" s="42">
        <v>6</v>
      </c>
      <c r="B34" s="42">
        <v>2017</v>
      </c>
      <c r="C34" s="44">
        <v>20842.800528249998</v>
      </c>
      <c r="D34" s="44">
        <v>731604.8719717499</v>
      </c>
      <c r="E34" s="44">
        <v>8333.333333333334</v>
      </c>
      <c r="F34" s="44">
        <v>723271.5386384166</v>
      </c>
      <c r="G34" s="44">
        <v>752447.6725</v>
      </c>
      <c r="H34" s="23">
        <v>731604.8719717499</v>
      </c>
    </row>
    <row r="35" spans="1:8" ht="12.75">
      <c r="A35" s="42">
        <v>7</v>
      </c>
      <c r="B35" s="42">
        <v>2017</v>
      </c>
      <c r="C35" s="44">
        <v>19454.318890320003</v>
      </c>
      <c r="D35" s="44">
        <v>682867.66270968</v>
      </c>
      <c r="E35" s="44">
        <v>8333.333333333334</v>
      </c>
      <c r="F35" s="44">
        <v>674534.3293763467</v>
      </c>
      <c r="G35" s="44">
        <v>702321.9816</v>
      </c>
      <c r="H35" s="23">
        <v>682867.66270968</v>
      </c>
    </row>
    <row r="36" spans="1:8" ht="12.75">
      <c r="A36" s="42">
        <v>8</v>
      </c>
      <c r="B36" s="42">
        <v>2017</v>
      </c>
      <c r="C36" s="44">
        <v>16214.91567367</v>
      </c>
      <c r="D36" s="44">
        <v>569161.10142633</v>
      </c>
      <c r="E36" s="44">
        <v>8333.333333333334</v>
      </c>
      <c r="F36" s="44">
        <v>560827.7680929967</v>
      </c>
      <c r="G36" s="44">
        <v>585376.0171</v>
      </c>
      <c r="H36" s="23">
        <v>569161.10142633</v>
      </c>
    </row>
    <row r="37" spans="1:8" ht="12.75">
      <c r="A37" s="42">
        <v>9</v>
      </c>
      <c r="B37" s="42">
        <v>2017</v>
      </c>
      <c r="C37" s="44">
        <v>16414.601245249996</v>
      </c>
      <c r="D37" s="44">
        <v>576170.28125475</v>
      </c>
      <c r="E37" s="44">
        <v>8333.333333333334</v>
      </c>
      <c r="F37" s="44">
        <v>567836.9479214166</v>
      </c>
      <c r="G37" s="44">
        <v>592584.8825</v>
      </c>
      <c r="H37" s="23">
        <v>576170.28125475</v>
      </c>
    </row>
    <row r="38" spans="1:8" ht="12.75">
      <c r="A38" s="42">
        <v>10</v>
      </c>
      <c r="B38" s="42">
        <v>2017</v>
      </c>
      <c r="C38" s="44">
        <v>13570.700573139999</v>
      </c>
      <c r="D38" s="44">
        <v>476346.28762685996</v>
      </c>
      <c r="E38" s="44">
        <v>8333.333333333334</v>
      </c>
      <c r="F38" s="44">
        <v>468012.95429352665</v>
      </c>
      <c r="G38" s="44">
        <v>489916.98819999996</v>
      </c>
      <c r="H38" s="23">
        <v>476346.28762685996</v>
      </c>
    </row>
    <row r="39" spans="1:8" ht="12.75">
      <c r="A39" s="13"/>
      <c r="B39" s="13"/>
      <c r="C39" s="14">
        <f aca="true" t="shared" si="5" ref="C39:H39">SUM(C27:C38)</f>
        <v>217014.73957856</v>
      </c>
      <c r="D39" s="14">
        <f t="shared" si="5"/>
        <v>7617452.393221441</v>
      </c>
      <c r="E39" s="14">
        <f t="shared" si="5"/>
        <v>99999.99999999999</v>
      </c>
      <c r="F39" s="14">
        <f t="shared" si="5"/>
        <v>7517452.393221439</v>
      </c>
      <c r="G39" s="14">
        <f t="shared" si="5"/>
        <v>7834467.132800001</v>
      </c>
      <c r="H39" s="14">
        <f t="shared" si="5"/>
        <v>7617452.393221441</v>
      </c>
    </row>
    <row r="71" spans="1:9" ht="12.75">
      <c r="A71" s="15"/>
      <c r="B71" s="12"/>
      <c r="C71" s="12" t="s">
        <v>40</v>
      </c>
      <c r="D71" s="12"/>
      <c r="E71" s="12"/>
      <c r="F71" s="12"/>
      <c r="G71" s="12"/>
      <c r="H71" s="12"/>
      <c r="I71" s="12"/>
    </row>
    <row r="72" spans="1:9" ht="12.75">
      <c r="A72" s="12" t="s">
        <v>53</v>
      </c>
      <c r="B72" s="12"/>
      <c r="C72" s="12" t="s">
        <v>41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2016</v>
      </c>
      <c r="E73" s="12" t="s">
        <v>3</v>
      </c>
      <c r="F73" s="12">
        <f>+B6+1</f>
        <v>2017</v>
      </c>
      <c r="G73" s="12"/>
      <c r="H73" s="12"/>
      <c r="I73" s="12"/>
    </row>
    <row r="74" spans="1:9" ht="12.75">
      <c r="A74" s="12" t="s">
        <v>63</v>
      </c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42</v>
      </c>
    </row>
    <row r="75" spans="1:9" ht="12.75">
      <c r="A75" s="12"/>
      <c r="B75" s="12" t="s">
        <v>15</v>
      </c>
      <c r="C75" s="12"/>
      <c r="D75" s="12"/>
      <c r="E75" s="12"/>
      <c r="F75" s="12"/>
      <c r="G75" s="12" t="s">
        <v>68</v>
      </c>
      <c r="H75" s="12"/>
      <c r="I75" s="12"/>
    </row>
    <row r="76" spans="1:13" ht="12.75">
      <c r="A76">
        <v>1</v>
      </c>
      <c r="B76" t="str">
        <f>+D3&amp;"-"&amp;(D3+1)</f>
        <v>2016-2017</v>
      </c>
      <c r="C76" s="23">
        <f>+C6+C7+C8</f>
        <v>1745030.7800000003</v>
      </c>
      <c r="D76" s="23">
        <f>+D6+D7+D8</f>
        <v>52350.9234</v>
      </c>
      <c r="E76" s="23">
        <f>+E6+E7+E8</f>
        <v>1692679.8566</v>
      </c>
      <c r="F76" s="31">
        <f>(F6+F7+F8)/M76</f>
        <v>-0.07610005278796587</v>
      </c>
      <c r="G76">
        <f aca="true" t="shared" si="6" ref="G76:H79">+A76</f>
        <v>1</v>
      </c>
      <c r="H76" t="str">
        <f t="shared" si="6"/>
        <v>2016-2017</v>
      </c>
      <c r="I76" s="23">
        <f>+I6+I7+I8</f>
        <v>1692679.8566</v>
      </c>
      <c r="M76">
        <f>+M6+M7+M8</f>
        <v>3</v>
      </c>
    </row>
    <row r="77" spans="1:13" ht="12.75">
      <c r="A77">
        <v>2</v>
      </c>
      <c r="B77" t="str">
        <f>+B76</f>
        <v>2016-2017</v>
      </c>
      <c r="C77" s="23">
        <f>+C9+C10+C11</f>
        <v>2298547.63</v>
      </c>
      <c r="D77" s="23">
        <f>+D9+D10+D11</f>
        <v>68956.4289</v>
      </c>
      <c r="E77" s="23">
        <f>+E9+E10+E11</f>
        <v>2229591.2011</v>
      </c>
      <c r="F77" s="31">
        <f>(F9+F10+F11)/M77</f>
        <v>-0.026324040285409727</v>
      </c>
      <c r="G77">
        <f t="shared" si="6"/>
        <v>2</v>
      </c>
      <c r="H77" t="str">
        <f t="shared" si="6"/>
        <v>2016-2017</v>
      </c>
      <c r="I77" s="1">
        <f>+I9+I10+I11</f>
        <v>2229591.2010999997</v>
      </c>
      <c r="M77">
        <f>+M9+M10+M11</f>
        <v>3</v>
      </c>
    </row>
    <row r="78" spans="1:13" ht="12.75">
      <c r="A78">
        <v>3</v>
      </c>
      <c r="B78" t="str">
        <f>+B76</f>
        <v>2016-2017</v>
      </c>
      <c r="C78" s="23">
        <f>+C12+C13+C14</f>
        <v>2313730.09</v>
      </c>
      <c r="D78" s="23">
        <f>+D12+D13+D14</f>
        <v>69411.9027</v>
      </c>
      <c r="E78" s="23">
        <f>+E12+E13+E14</f>
        <v>2244318.1873000003</v>
      </c>
      <c r="F78" s="31">
        <f>(F12+F13+F14)/M78</f>
        <v>0.01147495097885487</v>
      </c>
      <c r="G78">
        <f t="shared" si="6"/>
        <v>3</v>
      </c>
      <c r="H78" t="str">
        <f t="shared" si="6"/>
        <v>2016-2017</v>
      </c>
      <c r="I78" s="23">
        <f>+I12+I13+I14</f>
        <v>2244318.1873000003</v>
      </c>
      <c r="M78">
        <f>+M12+M13+M14</f>
        <v>3</v>
      </c>
    </row>
    <row r="79" spans="1:13" ht="12.75">
      <c r="A79">
        <v>4</v>
      </c>
      <c r="B79" t="str">
        <f>+B76</f>
        <v>2016-2017</v>
      </c>
      <c r="C79" s="49">
        <f>+C15+C16+C17</f>
        <v>1719461.7400000002</v>
      </c>
      <c r="D79" s="49">
        <f>+D15+D16+D17</f>
        <v>51583.8522</v>
      </c>
      <c r="E79" s="49">
        <f>+E15+E16+E17</f>
        <v>1667877.8878000001</v>
      </c>
      <c r="F79" s="31"/>
      <c r="G79">
        <f t="shared" si="6"/>
        <v>4</v>
      </c>
      <c r="H79" t="str">
        <f t="shared" si="6"/>
        <v>2016-2017</v>
      </c>
      <c r="I79" s="1">
        <f>+I11+I12+I13</f>
        <v>2322427.8544</v>
      </c>
      <c r="M79">
        <f>+M15+M16+M17</f>
        <v>3</v>
      </c>
    </row>
    <row r="80" spans="1:9" ht="12.75">
      <c r="A80" s="12" t="s">
        <v>70</v>
      </c>
      <c r="B80" s="12"/>
      <c r="C80" s="35">
        <f>SUM(C76:C79)</f>
        <v>8076770.24</v>
      </c>
      <c r="D80" s="35">
        <f>SUM(D76:D79)</f>
        <v>242303.1072</v>
      </c>
      <c r="E80" s="35">
        <f>SUM(E76:E79)</f>
        <v>7834467.132800002</v>
      </c>
      <c r="F80" s="36">
        <f>+F18</f>
        <v>-0.009241674330920158</v>
      </c>
      <c r="G80" s="12"/>
      <c r="H80" s="12"/>
      <c r="I80" s="35">
        <f>SUM(I76:I79)</f>
        <v>8489017.0994</v>
      </c>
    </row>
    <row r="85" spans="1:7" ht="12.75">
      <c r="A85" s="13"/>
      <c r="B85" s="13"/>
      <c r="C85" s="13" t="s">
        <v>30</v>
      </c>
      <c r="D85" s="13"/>
      <c r="E85" s="13"/>
      <c r="F85" s="13"/>
      <c r="G85" s="13"/>
    </row>
    <row r="86" spans="1:7" ht="12.75">
      <c r="A86" s="13"/>
      <c r="B86" s="13"/>
      <c r="C86" s="13" t="s">
        <v>43</v>
      </c>
      <c r="D86" s="13"/>
      <c r="E86" s="13"/>
      <c r="F86" s="13"/>
      <c r="G86" s="13"/>
    </row>
    <row r="87" spans="1:7" ht="12.75">
      <c r="A87" s="13"/>
      <c r="B87" s="13"/>
      <c r="C87" s="13" t="s">
        <v>32</v>
      </c>
      <c r="D87" s="13">
        <f>+B6</f>
        <v>2016</v>
      </c>
      <c r="E87" s="13" t="s">
        <v>3</v>
      </c>
      <c r="F87" s="13">
        <f>+B6+1</f>
        <v>2017</v>
      </c>
      <c r="G87" s="13"/>
    </row>
    <row r="88" spans="1:7" ht="12.75">
      <c r="A88" s="13" t="s">
        <v>63</v>
      </c>
      <c r="B88" s="13" t="s">
        <v>14</v>
      </c>
      <c r="C88" s="13" t="s">
        <v>34</v>
      </c>
      <c r="D88" s="13" t="s">
        <v>35</v>
      </c>
      <c r="E88" s="13" t="s">
        <v>44</v>
      </c>
      <c r="F88" s="13" t="s">
        <v>36</v>
      </c>
      <c r="G88" s="13" t="s">
        <v>39</v>
      </c>
    </row>
    <row r="89" spans="2:7" ht="12.75">
      <c r="B89" t="s">
        <v>15</v>
      </c>
      <c r="C89" s="24"/>
      <c r="D89" s="24"/>
      <c r="E89" s="24"/>
      <c r="F89" s="24"/>
      <c r="G89" s="24"/>
    </row>
    <row r="90" spans="1:7" ht="12.75">
      <c r="A90">
        <v>1</v>
      </c>
      <c r="B90" s="23" t="str">
        <f>+B76</f>
        <v>2016-2017</v>
      </c>
      <c r="C90" s="37">
        <f>+C27+C28+C29</f>
        <v>46887.23202782</v>
      </c>
      <c r="D90" s="37">
        <f>+D27+D28+D29</f>
        <v>1645792.6245721802</v>
      </c>
      <c r="E90" s="37">
        <f>+E27+E28+E29</f>
        <v>25000</v>
      </c>
      <c r="F90" s="37">
        <f>+F27+F28+F29</f>
        <v>1620792.62457218</v>
      </c>
      <c r="G90" s="37">
        <f>+G27+G28+G29</f>
        <v>1692679.8566</v>
      </c>
    </row>
    <row r="91" spans="1:7" ht="12.75">
      <c r="A91">
        <v>2</v>
      </c>
      <c r="B91" t="str">
        <f>+B90</f>
        <v>2016-2017</v>
      </c>
      <c r="C91" s="37">
        <f>+C30+C31+C32</f>
        <v>61759.676270469994</v>
      </c>
      <c r="D91" s="37">
        <f>+D30+D31+D32</f>
        <v>2167831.5248295297</v>
      </c>
      <c r="E91" s="37">
        <f>+E30+E31+E32</f>
        <v>25000</v>
      </c>
      <c r="F91" s="37">
        <f>+F30+F31+F32</f>
        <v>2142831.5248295297</v>
      </c>
      <c r="G91" s="37">
        <f>+G30+G31+G32</f>
        <v>2229591.2010999997</v>
      </c>
    </row>
    <row r="92" spans="1:7" ht="12.75">
      <c r="A92">
        <v>3</v>
      </c>
      <c r="B92" t="str">
        <f>+B90</f>
        <v>2016-2017</v>
      </c>
      <c r="C92" s="37">
        <f>+C33+C34+C35</f>
        <v>62167.61378821</v>
      </c>
      <c r="D92" s="37">
        <f>+D33+D34+D35</f>
        <v>2182150.57351179</v>
      </c>
      <c r="E92" s="37">
        <f>+E33+E34+E35</f>
        <v>25000</v>
      </c>
      <c r="F92" s="37">
        <f>+F33+F34+F35</f>
        <v>2157150.5735117896</v>
      </c>
      <c r="G92" s="37">
        <f>+G33+G34+G35</f>
        <v>2244318.1873000003</v>
      </c>
    </row>
    <row r="93" spans="1:7" ht="12.75">
      <c r="A93">
        <v>4</v>
      </c>
      <c r="B93" t="str">
        <f>+B90</f>
        <v>2016-2017</v>
      </c>
      <c r="C93" s="37">
        <f>+C36+C37+C38</f>
        <v>46200.217492059994</v>
      </c>
      <c r="D93" s="37">
        <f>+D36+D37+D38</f>
        <v>1621677.67030794</v>
      </c>
      <c r="E93" s="37">
        <f>+E36+E37+E38</f>
        <v>25000</v>
      </c>
      <c r="F93" s="37">
        <f>+F36+F37+F38</f>
        <v>1596677.6703079399</v>
      </c>
      <c r="G93" s="37">
        <f>+G36+G37+G38</f>
        <v>1667877.8878000001</v>
      </c>
    </row>
    <row r="94" spans="1:7" ht="12.75">
      <c r="A94" s="12" t="s">
        <v>70</v>
      </c>
      <c r="B94" s="12"/>
      <c r="C94" s="35">
        <f>SUM(C90:C93)</f>
        <v>217014.73957856</v>
      </c>
      <c r="D94" s="35">
        <f>SUM(D90:D93)</f>
        <v>7617452.39322144</v>
      </c>
      <c r="E94" s="35">
        <f>SUM(E90:E93)</f>
        <v>100000</v>
      </c>
      <c r="F94" s="35">
        <f>SUM(F90:F93)</f>
        <v>7517452.393221439</v>
      </c>
      <c r="G94" s="35">
        <f>SUM(G90:G93)</f>
        <v>7834467.1328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3" width="33.8515625" style="0" customWidth="1"/>
    <col min="4" max="4" width="16.7109375" style="0" bestFit="1" customWidth="1"/>
    <col min="6" max="8" width="9.140625" style="62" customWidth="1"/>
    <col min="9" max="9" width="16.00390625" style="62" customWidth="1"/>
    <col min="10" max="10" width="17.140625" style="62" bestFit="1" customWidth="1"/>
    <col min="11" max="11" width="12.7109375" style="62" bestFit="1" customWidth="1"/>
    <col min="12" max="12" width="12.8515625" style="62" bestFit="1" customWidth="1"/>
    <col min="13" max="13" width="9.140625" style="62" customWidth="1"/>
    <col min="14" max="14" width="15.421875" style="62" customWidth="1"/>
    <col min="15" max="15" width="9.57421875" style="62" bestFit="1" customWidth="1"/>
    <col min="16" max="16" width="10.140625" style="62" bestFit="1" customWidth="1"/>
    <col min="17" max="19" width="9.140625" style="62" customWidth="1"/>
  </cols>
  <sheetData>
    <row r="1" spans="1:28" ht="12.75">
      <c r="A1" s="13"/>
      <c r="B1" s="13"/>
      <c r="C1" s="13" t="s">
        <v>75</v>
      </c>
      <c r="D1" s="13"/>
      <c r="T1" s="62"/>
      <c r="U1" s="62"/>
      <c r="V1" s="43"/>
      <c r="W1" s="43"/>
      <c r="X1" s="43"/>
      <c r="Y1" s="43"/>
      <c r="Z1" s="43"/>
      <c r="AA1" s="43"/>
      <c r="AB1" s="43"/>
    </row>
    <row r="2" spans="1:28" ht="12.75">
      <c r="A2" s="13"/>
      <c r="B2" s="13"/>
      <c r="C2" s="13" t="s">
        <v>76</v>
      </c>
      <c r="D2" s="13"/>
      <c r="T2" s="62"/>
      <c r="U2" s="62"/>
      <c r="V2" s="43"/>
      <c r="W2" s="43"/>
      <c r="X2" s="43"/>
      <c r="Y2" s="68"/>
      <c r="Z2" s="68"/>
      <c r="AA2" s="68"/>
      <c r="AB2" s="68"/>
    </row>
    <row r="3" spans="1:28" ht="12.75">
      <c r="A3" s="13"/>
      <c r="B3" s="13"/>
      <c r="C3" s="13" t="s">
        <v>77</v>
      </c>
      <c r="D3" s="13"/>
      <c r="T3" s="62"/>
      <c r="U3" s="62"/>
      <c r="V3" s="43"/>
      <c r="W3" s="43"/>
      <c r="X3" s="43"/>
      <c r="Y3" s="68"/>
      <c r="Z3" s="68"/>
      <c r="AA3" s="68"/>
      <c r="AB3" s="68"/>
    </row>
    <row r="4" spans="1:28" ht="12.75">
      <c r="A4" s="13"/>
      <c r="B4" s="13"/>
      <c r="C4" s="13" t="str">
        <f>+B6&amp;"-"&amp;B6+1</f>
        <v>2016-2017</v>
      </c>
      <c r="D4" s="13"/>
      <c r="J4" s="91" t="str">
        <f>+B6-1&amp;"-"&amp;B6</f>
        <v>2015-2016</v>
      </c>
      <c r="T4" s="62"/>
      <c r="U4" s="62"/>
      <c r="V4" s="43"/>
      <c r="W4" s="43"/>
      <c r="X4" s="43"/>
      <c r="Y4" s="68"/>
      <c r="Z4" s="68"/>
      <c r="AA4" s="68"/>
      <c r="AB4" s="68"/>
    </row>
    <row r="5" spans="1:28" ht="12.75">
      <c r="A5" s="13" t="s">
        <v>4</v>
      </c>
      <c r="B5" s="13" t="s">
        <v>14</v>
      </c>
      <c r="C5" s="13" t="s">
        <v>19</v>
      </c>
      <c r="D5" s="13" t="s">
        <v>21</v>
      </c>
      <c r="T5" s="62"/>
      <c r="U5" s="62"/>
      <c r="V5" s="43"/>
      <c r="W5" s="43"/>
      <c r="X5" s="43"/>
      <c r="Y5" s="68"/>
      <c r="Z5" s="68"/>
      <c r="AA5" s="68"/>
      <c r="AB5" s="68"/>
    </row>
    <row r="6" spans="1:28" ht="12.75">
      <c r="A6" s="98">
        <v>10</v>
      </c>
      <c r="B6" s="98">
        <v>2016</v>
      </c>
      <c r="C6" s="26">
        <v>265940.19</v>
      </c>
      <c r="D6" s="2">
        <f>+(C6/I6)-1</f>
        <v>0.0028098187658409657</v>
      </c>
      <c r="I6" s="83">
        <v>265195.04000000004</v>
      </c>
      <c r="J6" s="92">
        <f aca="true" t="shared" si="0" ref="J6:J11">+IF(O6=1,I6,"")</f>
        <v>265195.04000000004</v>
      </c>
      <c r="N6" s="83">
        <v>265195.04000000004</v>
      </c>
      <c r="O6" s="62">
        <f>IF(A6&gt;0,1,0)</f>
        <v>1</v>
      </c>
      <c r="P6" s="63">
        <f>IF(O6=1,DATE(B6,A6,1),"")</f>
        <v>42644</v>
      </c>
      <c r="T6" s="62"/>
      <c r="U6" s="62"/>
      <c r="V6" s="43"/>
      <c r="W6" s="43"/>
      <c r="X6" s="43"/>
      <c r="Y6" s="68"/>
      <c r="Z6" s="68"/>
      <c r="AA6" s="68"/>
      <c r="AB6" s="68"/>
    </row>
    <row r="7" spans="1:28" ht="12.75">
      <c r="A7" s="98">
        <v>11</v>
      </c>
      <c r="B7" s="98">
        <v>2016</v>
      </c>
      <c r="C7" s="26">
        <v>255956.41999999998</v>
      </c>
      <c r="D7" s="2">
        <f aca="true" t="shared" si="1" ref="D7:D14">+(C7/I7)-1</f>
        <v>-0.08390352749319274</v>
      </c>
      <c r="I7" s="83">
        <v>279398.98</v>
      </c>
      <c r="J7" s="92">
        <f t="shared" si="0"/>
        <v>279398.98</v>
      </c>
      <c r="N7" s="83">
        <v>279398.98</v>
      </c>
      <c r="O7" s="62">
        <f aca="true" t="shared" si="2" ref="O7:O17">IF(A7&gt;0,1,0)</f>
        <v>1</v>
      </c>
      <c r="P7" s="63">
        <f aca="true" t="shared" si="3" ref="P7:P17">IF(O7=1,DATE(B7,A7,1),"")</f>
        <v>42675</v>
      </c>
      <c r="T7" s="62"/>
      <c r="U7" s="62"/>
      <c r="V7" s="43"/>
      <c r="W7" s="43"/>
      <c r="X7" s="43"/>
      <c r="Y7" s="68"/>
      <c r="Z7" s="68"/>
      <c r="AA7" s="68"/>
      <c r="AB7" s="68"/>
    </row>
    <row r="8" spans="1:28" ht="12.75">
      <c r="A8" s="98">
        <v>12</v>
      </c>
      <c r="B8" s="98">
        <v>2016</v>
      </c>
      <c r="C8" s="26">
        <v>251788.01</v>
      </c>
      <c r="D8" s="2">
        <f t="shared" si="1"/>
        <v>-0.02449528399658285</v>
      </c>
      <c r="I8" s="83">
        <v>258110.5</v>
      </c>
      <c r="J8" s="92">
        <f t="shared" si="0"/>
        <v>258110.5</v>
      </c>
      <c r="N8" s="83">
        <v>258110.5</v>
      </c>
      <c r="O8" s="62">
        <f>IF(A8&gt;0,1,0)</f>
        <v>1</v>
      </c>
      <c r="P8" s="63">
        <f>IF(O8=1,DATE(B8,A8,1),"")</f>
        <v>42705</v>
      </c>
      <c r="T8" s="62"/>
      <c r="U8" s="62"/>
      <c r="V8" s="43"/>
      <c r="W8" s="43"/>
      <c r="X8" s="43"/>
      <c r="Y8" s="68"/>
      <c r="Z8" s="68"/>
      <c r="AA8" s="68"/>
      <c r="AB8" s="68"/>
    </row>
    <row r="9" spans="1:28" ht="12.75">
      <c r="A9" s="98">
        <v>1</v>
      </c>
      <c r="B9" s="98">
        <v>2017</v>
      </c>
      <c r="C9" s="26">
        <v>274930.32</v>
      </c>
      <c r="D9" s="2">
        <f t="shared" si="1"/>
        <v>0.03531293034038763</v>
      </c>
      <c r="I9" s="83">
        <v>265552.87</v>
      </c>
      <c r="J9" s="92">
        <f t="shared" si="0"/>
        <v>265552.87</v>
      </c>
      <c r="N9" s="83">
        <v>265552.87</v>
      </c>
      <c r="O9" s="62">
        <f t="shared" si="2"/>
        <v>1</v>
      </c>
      <c r="P9" s="63">
        <f t="shared" si="3"/>
        <v>42736</v>
      </c>
      <c r="T9" s="62"/>
      <c r="U9" s="62"/>
      <c r="V9" s="43"/>
      <c r="W9" s="43"/>
      <c r="X9" s="43"/>
      <c r="Y9" s="68"/>
      <c r="Z9" s="68"/>
      <c r="AA9" s="68"/>
      <c r="AB9" s="68"/>
    </row>
    <row r="10" spans="1:28" ht="12.75">
      <c r="A10" s="98">
        <v>2</v>
      </c>
      <c r="B10" s="98">
        <v>2017</v>
      </c>
      <c r="C10" s="26">
        <f>100459.82+96078.75+76158.89</f>
        <v>272697.46</v>
      </c>
      <c r="D10" s="2">
        <f t="shared" si="1"/>
        <v>0.054645656836300516</v>
      </c>
      <c r="I10" s="83">
        <v>258567.85</v>
      </c>
      <c r="J10" s="92">
        <f t="shared" si="0"/>
        <v>258567.85</v>
      </c>
      <c r="N10" s="83">
        <v>258567.85</v>
      </c>
      <c r="O10" s="62">
        <f>IF(A10&gt;0,1,0)</f>
        <v>1</v>
      </c>
      <c r="P10" s="63">
        <f t="shared" si="3"/>
        <v>42767</v>
      </c>
      <c r="T10" s="62"/>
      <c r="U10" s="62"/>
      <c r="V10" s="43"/>
      <c r="W10" s="43"/>
      <c r="X10" s="43"/>
      <c r="Y10" s="68"/>
      <c r="Z10" s="68"/>
      <c r="AA10" s="68"/>
      <c r="AB10" s="68"/>
    </row>
    <row r="11" spans="1:28" ht="12.75">
      <c r="A11" s="98">
        <v>3</v>
      </c>
      <c r="B11" s="98">
        <v>2017</v>
      </c>
      <c r="C11" s="26">
        <f>80991.89+99895.86+94709.96</f>
        <v>275597.71</v>
      </c>
      <c r="D11" s="2">
        <f t="shared" si="1"/>
        <v>0.0017271577140556271</v>
      </c>
      <c r="I11" s="83">
        <v>275122.53</v>
      </c>
      <c r="J11" s="92">
        <f t="shared" si="0"/>
        <v>275122.53</v>
      </c>
      <c r="N11" s="83">
        <v>275122.53</v>
      </c>
      <c r="O11" s="62">
        <f>IF(A11&gt;0,1,0)</f>
        <v>1</v>
      </c>
      <c r="P11" s="63">
        <f t="shared" si="3"/>
        <v>42795</v>
      </c>
      <c r="T11" s="62"/>
      <c r="U11" s="62"/>
      <c r="V11" s="43"/>
      <c r="W11" s="43"/>
      <c r="X11" s="43"/>
      <c r="Y11" s="68"/>
      <c r="Z11" s="68"/>
      <c r="AA11" s="68"/>
      <c r="AB11" s="68"/>
    </row>
    <row r="12" spans="1:28" ht="12.75">
      <c r="A12" s="98">
        <v>4</v>
      </c>
      <c r="B12" s="98">
        <v>2017</v>
      </c>
      <c r="C12" s="26">
        <v>298711.21</v>
      </c>
      <c r="D12" s="2">
        <f t="shared" si="1"/>
        <v>0.0038791229712498154</v>
      </c>
      <c r="I12" s="83">
        <v>297556.95</v>
      </c>
      <c r="J12" s="83">
        <v>297556.95</v>
      </c>
      <c r="N12" s="83">
        <v>297556.95</v>
      </c>
      <c r="O12" s="62">
        <f t="shared" si="2"/>
        <v>1</v>
      </c>
      <c r="P12" s="63">
        <f t="shared" si="3"/>
        <v>42826</v>
      </c>
      <c r="T12" s="62"/>
      <c r="U12" s="62"/>
      <c r="V12" s="43"/>
      <c r="W12" s="43"/>
      <c r="X12" s="43"/>
      <c r="Y12" s="68"/>
      <c r="Z12" s="68"/>
      <c r="AA12" s="68"/>
      <c r="AB12" s="68"/>
    </row>
    <row r="13" spans="1:28" ht="12.75">
      <c r="A13" s="98">
        <v>5</v>
      </c>
      <c r="B13" s="98">
        <v>2017</v>
      </c>
      <c r="C13" s="23">
        <v>306513.58</v>
      </c>
      <c r="D13" s="2">
        <f t="shared" si="1"/>
        <v>0.00832324917688787</v>
      </c>
      <c r="I13" s="83">
        <v>303983.45</v>
      </c>
      <c r="J13" s="92">
        <v>303983.45</v>
      </c>
      <c r="N13" s="83">
        <v>303983.45</v>
      </c>
      <c r="O13" s="62">
        <f t="shared" si="2"/>
        <v>1</v>
      </c>
      <c r="P13" s="63">
        <f t="shared" si="3"/>
        <v>42856</v>
      </c>
      <c r="T13" s="62"/>
      <c r="U13" s="62"/>
      <c r="V13" s="43"/>
      <c r="W13" s="43"/>
      <c r="X13" s="43"/>
      <c r="Y13" s="68"/>
      <c r="Z13" s="68"/>
      <c r="AA13" s="68"/>
      <c r="AB13" s="68"/>
    </row>
    <row r="14" spans="1:28" ht="12.75">
      <c r="A14" s="98">
        <v>6</v>
      </c>
      <c r="B14" s="98">
        <v>2017</v>
      </c>
      <c r="C14" s="26">
        <f>124881.93+102748.76+85266.99</f>
        <v>312897.68</v>
      </c>
      <c r="D14" s="2">
        <f t="shared" si="1"/>
        <v>0.06397426475738821</v>
      </c>
      <c r="I14" s="83">
        <v>294083.88</v>
      </c>
      <c r="J14" s="83">
        <v>294083.88</v>
      </c>
      <c r="N14" s="83">
        <v>294083.88</v>
      </c>
      <c r="O14" s="62">
        <f t="shared" si="2"/>
        <v>1</v>
      </c>
      <c r="P14" s="63">
        <f t="shared" si="3"/>
        <v>42887</v>
      </c>
      <c r="T14" s="62"/>
      <c r="U14" s="62"/>
      <c r="V14" s="43"/>
      <c r="W14" s="43"/>
      <c r="X14" s="43"/>
      <c r="Y14" s="68"/>
      <c r="Z14" s="68"/>
      <c r="AA14" s="68"/>
      <c r="AB14" s="68"/>
    </row>
    <row r="15" spans="1:28" ht="12.75">
      <c r="A15" s="98">
        <v>7</v>
      </c>
      <c r="B15" s="98">
        <v>2017</v>
      </c>
      <c r="C15" s="26">
        <f>103621.48+78940.27+101871.46</f>
        <v>284433.21</v>
      </c>
      <c r="D15" s="99">
        <f>+(C15/I15)-1</f>
        <v>0.07728434690899055</v>
      </c>
      <c r="I15" s="83">
        <v>264027.98</v>
      </c>
      <c r="J15" s="83">
        <v>264027.98</v>
      </c>
      <c r="N15" s="83">
        <v>264027.98</v>
      </c>
      <c r="O15" s="62">
        <f t="shared" si="2"/>
        <v>1</v>
      </c>
      <c r="P15" s="63">
        <f t="shared" si="3"/>
        <v>42917</v>
      </c>
      <c r="T15" s="62"/>
      <c r="U15" s="62"/>
      <c r="V15" s="43"/>
      <c r="W15" s="43"/>
      <c r="X15" s="43"/>
      <c r="Y15" s="68"/>
      <c r="Z15" s="68"/>
      <c r="AA15" s="68"/>
      <c r="AB15" s="68"/>
    </row>
    <row r="16" spans="1:28" ht="12.75">
      <c r="A16" s="98">
        <v>8</v>
      </c>
      <c r="B16" s="98">
        <v>2017</v>
      </c>
      <c r="C16" s="26">
        <f>106409+101922.5+81515.94</f>
        <v>289847.44</v>
      </c>
      <c r="D16" s="99">
        <f>+(C16/I16)-1</f>
        <v>0.02429894625795037</v>
      </c>
      <c r="I16" s="83">
        <v>282971.53</v>
      </c>
      <c r="J16" s="92">
        <v>282971.63</v>
      </c>
      <c r="N16" s="83">
        <v>282971.63</v>
      </c>
      <c r="O16" s="62">
        <f t="shared" si="2"/>
        <v>1</v>
      </c>
      <c r="P16" s="63">
        <f t="shared" si="3"/>
        <v>42948</v>
      </c>
      <c r="T16" s="62"/>
      <c r="U16" s="62"/>
      <c r="V16" s="43"/>
      <c r="W16" s="43"/>
      <c r="X16" s="43"/>
      <c r="Y16" s="68"/>
      <c r="Z16" s="68"/>
      <c r="AA16" s="68"/>
      <c r="AB16" s="68"/>
    </row>
    <row r="17" spans="1:28" ht="12.75">
      <c r="A17" s="98">
        <v>9</v>
      </c>
      <c r="B17" s="98">
        <v>2017</v>
      </c>
      <c r="C17" s="26">
        <v>279788.15</v>
      </c>
      <c r="D17" s="99">
        <f>+(C17/I17)-1</f>
        <v>0.10205535726953485</v>
      </c>
      <c r="I17" s="83">
        <v>253878.49</v>
      </c>
      <c r="J17" s="92">
        <v>253878.49</v>
      </c>
      <c r="N17" s="83">
        <v>253878.49</v>
      </c>
      <c r="O17" s="62">
        <f t="shared" si="2"/>
        <v>1</v>
      </c>
      <c r="P17" s="63">
        <f t="shared" si="3"/>
        <v>42979</v>
      </c>
      <c r="T17" s="62"/>
      <c r="U17" s="62"/>
      <c r="V17" s="43"/>
      <c r="W17" s="43"/>
      <c r="X17" s="43"/>
      <c r="Y17" s="68"/>
      <c r="Z17" s="68"/>
      <c r="AA17" s="68"/>
      <c r="AB17" s="68"/>
    </row>
    <row r="18" spans="1:28" ht="12.75">
      <c r="A18" s="13"/>
      <c r="B18" s="13"/>
      <c r="C18" s="14">
        <f>SUM(C6:C17)</f>
        <v>3369101.38</v>
      </c>
      <c r="D18" s="19">
        <f>+J45</f>
        <v>0.021419554314608735</v>
      </c>
      <c r="J18" s="92"/>
      <c r="O18" s="93">
        <f>SUM(O6:O17)</f>
        <v>12</v>
      </c>
      <c r="T18" s="62"/>
      <c r="U18" s="62"/>
      <c r="V18" s="43"/>
      <c r="W18" s="43"/>
      <c r="X18" s="43"/>
      <c r="Y18" s="68"/>
      <c r="Z18" s="68"/>
      <c r="AA18" s="68"/>
      <c r="AB18" s="68"/>
    </row>
    <row r="19" spans="20:28" ht="12.75">
      <c r="T19" s="62"/>
      <c r="U19" s="62"/>
      <c r="V19" s="43"/>
      <c r="W19" s="43"/>
      <c r="X19" s="43"/>
      <c r="Y19" s="68"/>
      <c r="Z19" s="68"/>
      <c r="AA19" s="68"/>
      <c r="AB19" s="68"/>
    </row>
    <row r="20" spans="20:28" ht="12.75">
      <c r="T20" s="62"/>
      <c r="U20" s="62"/>
      <c r="V20" s="43"/>
      <c r="W20" s="43"/>
      <c r="X20" s="43"/>
      <c r="Y20" s="68"/>
      <c r="Z20" s="68"/>
      <c r="AA20" s="68"/>
      <c r="AB20" s="68"/>
    </row>
    <row r="21" spans="20:28" ht="12.75">
      <c r="T21" s="62"/>
      <c r="U21" s="62"/>
      <c r="V21" s="43"/>
      <c r="W21" s="43"/>
      <c r="X21" s="43"/>
      <c r="Y21" s="68"/>
      <c r="Z21" s="68"/>
      <c r="AA21" s="68"/>
      <c r="AB21" s="68"/>
    </row>
    <row r="22" spans="8:28" ht="12.75"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68"/>
      <c r="Z22" s="68"/>
      <c r="AA22" s="68"/>
      <c r="AB22" s="68"/>
    </row>
    <row r="23" spans="10:28" ht="12.75"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68"/>
      <c r="Z23" s="68"/>
      <c r="AA23" s="68"/>
      <c r="AB23" s="68"/>
    </row>
    <row r="24" spans="10:28" ht="12.75"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68"/>
      <c r="Z24" s="68"/>
      <c r="AA24" s="68"/>
      <c r="AB24" s="68"/>
    </row>
    <row r="25" spans="10:28" ht="12.75"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68"/>
      <c r="Z25" s="68"/>
      <c r="AA25" s="68"/>
      <c r="AB25" s="68"/>
    </row>
    <row r="26" spans="10:28" ht="12.75"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68"/>
      <c r="Z26" s="68"/>
      <c r="AA26" s="68"/>
      <c r="AB26" s="68"/>
    </row>
    <row r="27" spans="10:28" ht="12.75"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68"/>
      <c r="Z27" s="68"/>
      <c r="AA27" s="68"/>
      <c r="AB27" s="68"/>
    </row>
    <row r="28" spans="10:28" ht="12.75"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68"/>
      <c r="X28" s="68"/>
      <c r="Y28" s="68"/>
      <c r="Z28" s="68"/>
      <c r="AA28" s="68"/>
      <c r="AB28" s="68"/>
    </row>
    <row r="29" spans="10:28" ht="12.75"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68"/>
      <c r="X29" s="68"/>
      <c r="Y29" s="68"/>
      <c r="Z29" s="68"/>
      <c r="AA29" s="68"/>
      <c r="AB29" s="68"/>
    </row>
    <row r="30" spans="10:28" ht="12.75"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68"/>
      <c r="X30" s="68"/>
      <c r="Y30" s="68"/>
      <c r="Z30" s="68"/>
      <c r="AA30" s="68"/>
      <c r="AB30" s="68"/>
    </row>
    <row r="31" spans="10:28" ht="12.75"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68"/>
      <c r="X31" s="68"/>
      <c r="Y31" s="68"/>
      <c r="Z31" s="68"/>
      <c r="AA31" s="68"/>
      <c r="AB31" s="68"/>
    </row>
    <row r="32" spans="10:28" ht="12.75"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68"/>
      <c r="X32" s="68"/>
      <c r="Y32" s="68"/>
      <c r="Z32" s="68"/>
      <c r="AA32" s="68"/>
      <c r="AB32" s="68"/>
    </row>
    <row r="33" spans="10:28" ht="12.75"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68"/>
      <c r="X33" s="68"/>
      <c r="Y33" s="68"/>
      <c r="Z33" s="68"/>
      <c r="AA33" s="68"/>
      <c r="AB33" s="68"/>
    </row>
    <row r="34" spans="10:28" ht="12.75"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68"/>
      <c r="X34" s="68"/>
      <c r="Y34" s="68"/>
      <c r="Z34" s="68"/>
      <c r="AA34" s="68"/>
      <c r="AB34" s="68"/>
    </row>
    <row r="35" spans="10:28" ht="12.75"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68"/>
      <c r="X35" s="68"/>
      <c r="Y35" s="68"/>
      <c r="Z35" s="68"/>
      <c r="AA35" s="68"/>
      <c r="AB35" s="68"/>
    </row>
    <row r="36" spans="10:28" ht="12.75"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8"/>
      <c r="X36" s="68"/>
      <c r="Y36" s="68"/>
      <c r="Z36" s="68"/>
      <c r="AA36" s="68"/>
      <c r="AB36" s="68"/>
    </row>
    <row r="37" spans="10:28" ht="12.75"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68"/>
      <c r="X37" s="68"/>
      <c r="Y37" s="68"/>
      <c r="Z37" s="68"/>
      <c r="AA37" s="68"/>
      <c r="AB37" s="68"/>
    </row>
    <row r="38" spans="10:28" ht="12.75"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68"/>
      <c r="X38" s="68"/>
      <c r="Y38" s="68"/>
      <c r="Z38" s="68"/>
      <c r="AA38" s="68"/>
      <c r="AB38" s="68"/>
    </row>
    <row r="39" spans="10:28" ht="12.75"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68"/>
      <c r="X39" s="68"/>
      <c r="Y39" s="68"/>
      <c r="Z39" s="68"/>
      <c r="AA39" s="68"/>
      <c r="AB39" s="68"/>
    </row>
    <row r="40" spans="10:28" ht="12.75"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68"/>
      <c r="X40" s="68"/>
      <c r="Y40" s="68"/>
      <c r="Z40" s="68"/>
      <c r="AA40" s="68"/>
      <c r="AB40" s="68"/>
    </row>
    <row r="41" spans="10:28" ht="12.75"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68"/>
      <c r="X41" s="68"/>
      <c r="Y41" s="68"/>
      <c r="Z41" s="68"/>
      <c r="AA41" s="68"/>
      <c r="AB41" s="68"/>
    </row>
    <row r="42" spans="10:28" ht="12.75"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68"/>
      <c r="X42" s="68"/>
      <c r="Y42" s="68"/>
      <c r="Z42" s="68"/>
      <c r="AA42" s="68"/>
      <c r="AB42" s="68"/>
    </row>
    <row r="43" spans="20:28" ht="12.75">
      <c r="T43" s="68"/>
      <c r="U43" s="68"/>
      <c r="V43" s="68"/>
      <c r="W43" s="68"/>
      <c r="X43" s="68"/>
      <c r="Y43" s="68"/>
      <c r="Z43" s="68"/>
      <c r="AA43" s="68"/>
      <c r="AB43" s="68"/>
    </row>
    <row r="44" spans="20:28" ht="12.75">
      <c r="T44" s="68"/>
      <c r="U44" s="68"/>
      <c r="V44" s="68"/>
      <c r="W44" s="68"/>
      <c r="X44" s="68"/>
      <c r="Y44" s="68"/>
      <c r="Z44" s="68"/>
      <c r="AA44" s="68"/>
      <c r="AB44" s="68"/>
    </row>
    <row r="45" spans="10:28" ht="12.75">
      <c r="J45" s="66">
        <f>+(K45/L45)-1</f>
        <v>0.021419554314608735</v>
      </c>
      <c r="K45" s="84">
        <f>SUM(C6:C17)</f>
        <v>3369101.38</v>
      </c>
      <c r="L45" s="84">
        <f>SUM(I6:I17)</f>
        <v>3298450.0500000007</v>
      </c>
      <c r="T45" s="68"/>
      <c r="U45" s="68"/>
      <c r="V45" s="68"/>
      <c r="W45" s="68"/>
      <c r="X45" s="68"/>
      <c r="Y45" s="68"/>
      <c r="Z45" s="68"/>
      <c r="AA45" s="68"/>
      <c r="AB45" s="6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18" max="18" width="21.851562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  <col min="25" max="25" width="12.00390625" style="0" customWidth="1"/>
  </cols>
  <sheetData>
    <row r="1" spans="1:20" ht="12.75">
      <c r="A1" s="13"/>
      <c r="B1" s="13"/>
      <c r="C1" s="13" t="s">
        <v>0</v>
      </c>
      <c r="D1" s="13"/>
      <c r="E1" s="13"/>
      <c r="F1" s="13"/>
      <c r="G1" s="13"/>
      <c r="H1" s="13"/>
      <c r="I1" s="13"/>
      <c r="J1" s="13"/>
      <c r="K1" s="13"/>
      <c r="R1">
        <f>+B7-1</f>
        <v>2015</v>
      </c>
      <c r="S1" t="s">
        <v>3</v>
      </c>
      <c r="T1">
        <f>+B7</f>
        <v>2016</v>
      </c>
    </row>
    <row r="2" spans="1:29" ht="12.75">
      <c r="A2" s="13"/>
      <c r="B2" s="13"/>
      <c r="C2" s="13" t="s">
        <v>45</v>
      </c>
      <c r="D2" s="13"/>
      <c r="E2" s="13"/>
      <c r="F2" s="13"/>
      <c r="G2" s="13"/>
      <c r="H2" s="13"/>
      <c r="I2" s="13"/>
      <c r="J2" s="13"/>
      <c r="K2" s="13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.75">
      <c r="A3" s="13"/>
      <c r="B3" s="13"/>
      <c r="C3" s="13" t="s">
        <v>46</v>
      </c>
      <c r="D3" s="13"/>
      <c r="E3" s="13"/>
      <c r="F3" s="13"/>
      <c r="G3" s="13"/>
      <c r="H3" s="13"/>
      <c r="I3" s="13" t="s">
        <v>47</v>
      </c>
      <c r="J3" s="13" t="s">
        <v>48</v>
      </c>
      <c r="K3" s="1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12.75">
      <c r="A4" s="13"/>
      <c r="B4" s="13"/>
      <c r="C4" s="13" t="s">
        <v>17</v>
      </c>
      <c r="D4" s="13"/>
      <c r="E4" s="13">
        <f>+B7</f>
        <v>2016</v>
      </c>
      <c r="F4" s="13" t="s">
        <v>3</v>
      </c>
      <c r="G4" s="13">
        <f>+B7+1</f>
        <v>2017</v>
      </c>
      <c r="H4" s="13"/>
      <c r="I4" s="13"/>
      <c r="J4" s="13"/>
      <c r="K4" s="1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ht="12.75">
      <c r="A5" s="13"/>
      <c r="B5" s="13"/>
      <c r="C5" s="13"/>
      <c r="D5" s="13"/>
      <c r="E5" s="13"/>
      <c r="F5" s="13" t="s">
        <v>49</v>
      </c>
      <c r="G5" s="13"/>
      <c r="H5" s="13"/>
      <c r="I5" s="13" t="s">
        <v>50</v>
      </c>
      <c r="J5" s="13" t="s">
        <v>23</v>
      </c>
      <c r="K5" s="13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12.75">
      <c r="A6" s="13" t="s">
        <v>4</v>
      </c>
      <c r="B6" s="13" t="s">
        <v>14</v>
      </c>
      <c r="C6" s="13" t="s">
        <v>19</v>
      </c>
      <c r="D6" s="13" t="s">
        <v>6</v>
      </c>
      <c r="E6" s="13" t="s">
        <v>20</v>
      </c>
      <c r="F6" s="13" t="s">
        <v>8</v>
      </c>
      <c r="G6" s="13" t="s">
        <v>33</v>
      </c>
      <c r="H6" s="13"/>
      <c r="I6" s="13" t="s">
        <v>51</v>
      </c>
      <c r="J6" s="13" t="s">
        <v>52</v>
      </c>
      <c r="K6" s="1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ht="12.75">
      <c r="A7" s="42">
        <v>10</v>
      </c>
      <c r="B7" s="42">
        <v>2016</v>
      </c>
      <c r="C7" s="44">
        <v>2096951.3</v>
      </c>
      <c r="D7" s="44">
        <v>62908.539</v>
      </c>
      <c r="E7" s="44">
        <v>2034042.761</v>
      </c>
      <c r="F7" s="45">
        <v>0.08338028305524903</v>
      </c>
      <c r="G7" s="42">
        <v>11</v>
      </c>
      <c r="H7" s="42">
        <v>2016</v>
      </c>
      <c r="I7" s="44">
        <v>1728936.3468499999</v>
      </c>
      <c r="J7" s="44">
        <v>305106.41414999997</v>
      </c>
      <c r="N7" s="46">
        <v>0.0557</v>
      </c>
      <c r="P7" s="62">
        <f>IF(I7&gt;0,1,0)</f>
        <v>1</v>
      </c>
      <c r="Q7" s="67">
        <f>DATE(B7,A7,1)</f>
        <v>42644</v>
      </c>
      <c r="R7" s="63">
        <f>IF(E7&gt;0,Q7," ")</f>
        <v>42644</v>
      </c>
      <c r="S7" s="62"/>
      <c r="T7" s="64">
        <f>IF(P7=1,(F7+1),"")</f>
        <v>1.083380283055249</v>
      </c>
      <c r="U7" s="65">
        <f>IF(P7=1,C7/T7,"")</f>
        <v>1935563.47</v>
      </c>
      <c r="V7" s="65"/>
      <c r="W7" s="62"/>
      <c r="X7" s="65">
        <f>IF(P7=1,E7/T7,0)</f>
        <v>1877496.5659</v>
      </c>
      <c r="Y7" s="65">
        <f>IF(P7=1,X7*0.85,0)</f>
        <v>1595872.081015</v>
      </c>
      <c r="Z7" s="65">
        <f>IF(P7=1,X7*0.15,0)</f>
        <v>281624.484885</v>
      </c>
      <c r="AA7" s="62"/>
      <c r="AB7" s="62"/>
      <c r="AC7" s="62"/>
    </row>
    <row r="8" spans="1:29" ht="12.75">
      <c r="A8" s="42">
        <v>11</v>
      </c>
      <c r="B8" s="42">
        <v>2016</v>
      </c>
      <c r="C8" s="44">
        <v>1880977.25</v>
      </c>
      <c r="D8" s="44">
        <v>56429.3175</v>
      </c>
      <c r="E8" s="44">
        <v>1824547.9325</v>
      </c>
      <c r="F8" s="45">
        <v>0.08992862422498171</v>
      </c>
      <c r="G8" s="42">
        <v>12</v>
      </c>
      <c r="H8" s="42">
        <v>2016</v>
      </c>
      <c r="I8" s="44">
        <v>1550865.742625</v>
      </c>
      <c r="J8" s="44">
        <v>273682.189875</v>
      </c>
      <c r="P8" s="62">
        <f aca="true" t="shared" si="0" ref="P8:P18">IF(I8&gt;0,1,0)</f>
        <v>1</v>
      </c>
      <c r="Q8" s="67">
        <f aca="true" t="shared" si="1" ref="Q8:Q18">DATE(B8,A8,1)</f>
        <v>42675</v>
      </c>
      <c r="R8" s="63">
        <f aca="true" t="shared" si="2" ref="R8:R18">IF(E8&gt;0,Q8," ")</f>
        <v>42675</v>
      </c>
      <c r="S8" s="62"/>
      <c r="T8" s="64">
        <f aca="true" t="shared" si="3" ref="T8:T18">IF(P8=1,(F8+1),"")</f>
        <v>1.0899286242249817</v>
      </c>
      <c r="U8" s="65">
        <f>IF(P8=1,C8/T8,"")</f>
        <v>1725780.21</v>
      </c>
      <c r="V8" s="65"/>
      <c r="W8" s="62"/>
      <c r="X8" s="65">
        <f aca="true" t="shared" si="4" ref="X8:X18">IF(P8=1,E8/T8,0)</f>
        <v>1674006.8037</v>
      </c>
      <c r="Y8" s="65">
        <f aca="true" t="shared" si="5" ref="Y8:Y18">IF(P8=1,X8*0.85,0)</f>
        <v>1422905.783145</v>
      </c>
      <c r="Z8" s="65">
        <f aca="true" t="shared" si="6" ref="Z8:Z18">IF(P8=1,X8*0.15,0)</f>
        <v>251101.020555</v>
      </c>
      <c r="AA8" s="62"/>
      <c r="AB8" s="62"/>
      <c r="AC8" s="62"/>
    </row>
    <row r="9" spans="1:29" ht="12.75">
      <c r="A9" s="42">
        <v>12</v>
      </c>
      <c r="B9" s="42">
        <v>2016</v>
      </c>
      <c r="C9" s="44">
        <v>2131349.12</v>
      </c>
      <c r="D9" s="44">
        <v>63940.4736</v>
      </c>
      <c r="E9" s="44">
        <v>2067408.6464000002</v>
      </c>
      <c r="F9" s="45">
        <v>0.005726573185089956</v>
      </c>
      <c r="G9" s="42">
        <v>1</v>
      </c>
      <c r="H9" s="42">
        <v>2017</v>
      </c>
      <c r="I9" s="44">
        <v>1757297.34944</v>
      </c>
      <c r="J9" s="44">
        <v>310111.29696</v>
      </c>
      <c r="P9" s="62">
        <f t="shared" si="0"/>
        <v>1</v>
      </c>
      <c r="Q9" s="67">
        <f t="shared" si="1"/>
        <v>42705</v>
      </c>
      <c r="R9" s="63">
        <f t="shared" si="2"/>
        <v>42705</v>
      </c>
      <c r="S9" s="62"/>
      <c r="T9" s="64">
        <f t="shared" si="3"/>
        <v>1.00572657318509</v>
      </c>
      <c r="U9" s="65">
        <f aca="true" t="shared" si="7" ref="U9:U18">IF(P9=1,C9/T9,"")</f>
        <v>2119213.29</v>
      </c>
      <c r="V9" s="65"/>
      <c r="W9" s="62"/>
      <c r="X9" s="65">
        <f t="shared" si="4"/>
        <v>2055636.8913</v>
      </c>
      <c r="Y9" s="65">
        <f t="shared" si="5"/>
        <v>1747291.357605</v>
      </c>
      <c r="Z9" s="65">
        <f t="shared" si="6"/>
        <v>308345.533695</v>
      </c>
      <c r="AA9" s="62"/>
      <c r="AB9" s="62"/>
      <c r="AC9" s="62"/>
    </row>
    <row r="10" spans="1:29" ht="12.75">
      <c r="A10" s="42">
        <v>1</v>
      </c>
      <c r="B10" s="42">
        <v>2017</v>
      </c>
      <c r="C10" s="44">
        <v>2391076.85</v>
      </c>
      <c r="D10" s="44">
        <v>71732.3055</v>
      </c>
      <c r="E10" s="44">
        <v>2319344.5445000003</v>
      </c>
      <c r="F10" s="45">
        <v>0.034605919155852316</v>
      </c>
      <c r="G10" s="42">
        <v>2</v>
      </c>
      <c r="H10" s="42">
        <v>2017</v>
      </c>
      <c r="I10" s="44">
        <v>1971442.8628250002</v>
      </c>
      <c r="J10" s="44">
        <v>347901.68167500006</v>
      </c>
      <c r="P10" s="62">
        <f t="shared" si="0"/>
        <v>1</v>
      </c>
      <c r="Q10" s="67">
        <f t="shared" si="1"/>
        <v>42736</v>
      </c>
      <c r="R10" s="63">
        <f t="shared" si="2"/>
        <v>42736</v>
      </c>
      <c r="S10" s="62"/>
      <c r="T10" s="64">
        <f>IF(P10=1,(F10+1),"")</f>
        <v>1.0346059191558523</v>
      </c>
      <c r="U10" s="65">
        <f>IF(P10=1,C10/T10,"")</f>
        <v>2311099.14</v>
      </c>
      <c r="V10" s="65"/>
      <c r="W10" s="62"/>
      <c r="X10" s="65">
        <f t="shared" si="4"/>
        <v>2241766.1658000005</v>
      </c>
      <c r="Y10" s="65">
        <f t="shared" si="5"/>
        <v>1905501.2409300003</v>
      </c>
      <c r="Z10" s="65">
        <f t="shared" si="6"/>
        <v>336264.92487000005</v>
      </c>
      <c r="AA10" s="62"/>
      <c r="AB10" s="62"/>
      <c r="AC10" s="62"/>
    </row>
    <row r="11" spans="1:29" ht="12.75">
      <c r="A11" s="42">
        <v>2</v>
      </c>
      <c r="B11" s="42">
        <v>2017</v>
      </c>
      <c r="C11" s="44">
        <v>2203471.96</v>
      </c>
      <c r="D11" s="44">
        <v>66104.15879999999</v>
      </c>
      <c r="E11" s="44">
        <v>2137367.8012</v>
      </c>
      <c r="F11" s="45">
        <v>0.05104909032201177</v>
      </c>
      <c r="G11" s="42">
        <v>3</v>
      </c>
      <c r="H11" s="42">
        <v>2017</v>
      </c>
      <c r="I11" s="44">
        <v>1816762.63102</v>
      </c>
      <c r="J11" s="44">
        <v>320605.17018</v>
      </c>
      <c r="P11" s="62">
        <f t="shared" si="0"/>
        <v>1</v>
      </c>
      <c r="Q11" s="67">
        <f t="shared" si="1"/>
        <v>42767</v>
      </c>
      <c r="R11" s="63">
        <f t="shared" si="2"/>
        <v>42767</v>
      </c>
      <c r="S11" s="62"/>
      <c r="T11" s="64">
        <f t="shared" si="3"/>
        <v>1.0510490903220118</v>
      </c>
      <c r="U11" s="65">
        <f t="shared" si="7"/>
        <v>2096450.0900000003</v>
      </c>
      <c r="V11" s="65"/>
      <c r="W11" s="62"/>
      <c r="X11" s="65">
        <f t="shared" si="4"/>
        <v>2033556.5873000005</v>
      </c>
      <c r="Y11" s="65">
        <f t="shared" si="5"/>
        <v>1728523.0992050003</v>
      </c>
      <c r="Z11" s="65">
        <f t="shared" si="6"/>
        <v>305033.48809500004</v>
      </c>
      <c r="AA11" s="62"/>
      <c r="AB11" s="62"/>
      <c r="AC11" s="62"/>
    </row>
    <row r="12" spans="1:29" ht="12.75">
      <c r="A12" s="42">
        <v>3</v>
      </c>
      <c r="B12" s="42">
        <v>2017</v>
      </c>
      <c r="C12" s="44">
        <v>2171584.97</v>
      </c>
      <c r="D12" s="44">
        <v>65147.549100000004</v>
      </c>
      <c r="E12" s="44">
        <v>2106437.4209000003</v>
      </c>
      <c r="F12" s="45">
        <v>-0.011606768936550105</v>
      </c>
      <c r="G12" s="42">
        <v>4</v>
      </c>
      <c r="H12" s="42">
        <v>2017</v>
      </c>
      <c r="I12" s="44">
        <v>1790471.8077650003</v>
      </c>
      <c r="J12" s="44">
        <v>315965.61313500005</v>
      </c>
      <c r="P12" s="62">
        <f t="shared" si="0"/>
        <v>1</v>
      </c>
      <c r="Q12" s="67">
        <f t="shared" si="1"/>
        <v>42795</v>
      </c>
      <c r="R12" s="63">
        <f t="shared" si="2"/>
        <v>42795</v>
      </c>
      <c r="S12" s="62"/>
      <c r="T12" s="64">
        <f t="shared" si="3"/>
        <v>0.9883932310634499</v>
      </c>
      <c r="U12" s="65">
        <f t="shared" si="7"/>
        <v>2197086.04</v>
      </c>
      <c r="V12" s="65"/>
      <c r="W12" s="62"/>
      <c r="X12" s="65">
        <f t="shared" si="4"/>
        <v>2131173.4588</v>
      </c>
      <c r="Y12" s="65">
        <f t="shared" si="5"/>
        <v>1811497.43998</v>
      </c>
      <c r="Z12" s="65">
        <f t="shared" si="6"/>
        <v>319676.01882</v>
      </c>
      <c r="AA12" s="62"/>
      <c r="AB12" s="62"/>
      <c r="AC12" s="62"/>
    </row>
    <row r="13" spans="1:29" ht="12.75">
      <c r="A13" s="42">
        <v>4</v>
      </c>
      <c r="B13" s="42">
        <v>2017</v>
      </c>
      <c r="C13" s="44">
        <v>2429923.04</v>
      </c>
      <c r="D13" s="44">
        <v>72897.6912</v>
      </c>
      <c r="E13" s="44">
        <v>2357025.3488</v>
      </c>
      <c r="F13" s="45">
        <v>0.06081130571837923</v>
      </c>
      <c r="G13" s="42">
        <v>5</v>
      </c>
      <c r="H13" s="42">
        <v>2017</v>
      </c>
      <c r="I13" s="44">
        <v>2003471.5464799998</v>
      </c>
      <c r="J13" s="44">
        <v>353553.80231999996</v>
      </c>
      <c r="P13" s="62">
        <f t="shared" si="0"/>
        <v>1</v>
      </c>
      <c r="Q13" s="67">
        <f t="shared" si="1"/>
        <v>42826</v>
      </c>
      <c r="R13" s="63">
        <f t="shared" si="2"/>
        <v>42826</v>
      </c>
      <c r="S13" s="62"/>
      <c r="T13" s="64">
        <f t="shared" si="3"/>
        <v>1.0608113057183792</v>
      </c>
      <c r="U13" s="65">
        <f t="shared" si="7"/>
        <v>2290627.02</v>
      </c>
      <c r="V13" s="65">
        <f aca="true" t="shared" si="8" ref="V13:V18">IF(P13=1,U13*0.85,"")</f>
        <v>1947032.967</v>
      </c>
      <c r="W13" s="62"/>
      <c r="X13" s="65">
        <f t="shared" si="4"/>
        <v>2221908.2094</v>
      </c>
      <c r="Y13" s="65">
        <f t="shared" si="5"/>
        <v>1888621.97799</v>
      </c>
      <c r="Z13" s="65">
        <f t="shared" si="6"/>
        <v>333286.23141</v>
      </c>
      <c r="AA13" s="62"/>
      <c r="AB13" s="62"/>
      <c r="AC13" s="62"/>
    </row>
    <row r="14" spans="1:29" ht="12.75">
      <c r="A14" s="42">
        <v>5</v>
      </c>
      <c r="B14" s="42">
        <v>2017</v>
      </c>
      <c r="C14" s="44">
        <v>2357807.9</v>
      </c>
      <c r="D14" s="44">
        <v>70734.237</v>
      </c>
      <c r="E14" s="44">
        <v>2287073.6629999997</v>
      </c>
      <c r="F14" s="45">
        <v>0.04087233444284144</v>
      </c>
      <c r="G14" s="42">
        <v>6</v>
      </c>
      <c r="H14" s="42">
        <v>2017</v>
      </c>
      <c r="I14" s="44">
        <v>1944012.6135499997</v>
      </c>
      <c r="J14" s="44">
        <v>343061.04944999993</v>
      </c>
      <c r="P14" s="62">
        <f t="shared" si="0"/>
        <v>1</v>
      </c>
      <c r="Q14" s="67">
        <f t="shared" si="1"/>
        <v>42856</v>
      </c>
      <c r="R14" s="63">
        <f t="shared" si="2"/>
        <v>42856</v>
      </c>
      <c r="S14" s="62"/>
      <c r="T14" s="64">
        <f t="shared" si="3"/>
        <v>1.0408723344428414</v>
      </c>
      <c r="U14" s="65">
        <f t="shared" si="7"/>
        <v>2265222.95</v>
      </c>
      <c r="V14" s="65">
        <f t="shared" si="8"/>
        <v>1925439.5075</v>
      </c>
      <c r="W14" s="62"/>
      <c r="X14" s="65">
        <f t="shared" si="4"/>
        <v>2197266.2615</v>
      </c>
      <c r="Y14" s="65">
        <f t="shared" si="5"/>
        <v>1867676.322275</v>
      </c>
      <c r="Z14" s="65">
        <f t="shared" si="6"/>
        <v>329589.939225</v>
      </c>
      <c r="AA14" s="62"/>
      <c r="AB14" s="62"/>
      <c r="AC14" s="62"/>
    </row>
    <row r="15" spans="1:29" ht="12.75">
      <c r="A15" s="42">
        <v>6</v>
      </c>
      <c r="B15" s="42">
        <v>2017</v>
      </c>
      <c r="C15" s="44">
        <v>2255329.12</v>
      </c>
      <c r="D15" s="44">
        <v>67659.8736</v>
      </c>
      <c r="E15" s="44">
        <v>2187669.2464</v>
      </c>
      <c r="F15" s="45">
        <v>0.08292397818177166</v>
      </c>
      <c r="G15" s="42">
        <v>7</v>
      </c>
      <c r="H15" s="42">
        <v>2017</v>
      </c>
      <c r="I15" s="44">
        <v>1859518.85944</v>
      </c>
      <c r="J15" s="44">
        <v>328150.38696</v>
      </c>
      <c r="P15" s="62">
        <f t="shared" si="0"/>
        <v>1</v>
      </c>
      <c r="Q15" s="67">
        <f t="shared" si="1"/>
        <v>42887</v>
      </c>
      <c r="R15" s="63">
        <f t="shared" si="2"/>
        <v>42887</v>
      </c>
      <c r="S15" s="62"/>
      <c r="T15" s="64">
        <f t="shared" si="3"/>
        <v>1.0829239781817717</v>
      </c>
      <c r="U15" s="65">
        <f t="shared" si="7"/>
        <v>2082629.22</v>
      </c>
      <c r="V15" s="65">
        <f t="shared" si="8"/>
        <v>1770234.8369999998</v>
      </c>
      <c r="W15" s="62"/>
      <c r="X15" s="65">
        <f t="shared" si="4"/>
        <v>2020150.3434</v>
      </c>
      <c r="Y15" s="65">
        <f t="shared" si="5"/>
        <v>1717127.7918899998</v>
      </c>
      <c r="Z15" s="65">
        <f t="shared" si="6"/>
        <v>303022.55150999996</v>
      </c>
      <c r="AA15" s="62"/>
      <c r="AB15" s="62"/>
      <c r="AC15" s="62"/>
    </row>
    <row r="16" spans="1:29" ht="12.75">
      <c r="A16" s="42">
        <v>7</v>
      </c>
      <c r="B16" s="42">
        <v>2017</v>
      </c>
      <c r="C16" s="44">
        <v>2194047.02</v>
      </c>
      <c r="D16" s="44">
        <v>65821.4106</v>
      </c>
      <c r="E16" s="44">
        <v>2128225.6094</v>
      </c>
      <c r="F16" s="45">
        <v>0.041372199554931655</v>
      </c>
      <c r="G16" s="42">
        <v>8</v>
      </c>
      <c r="H16" s="42">
        <v>2017</v>
      </c>
      <c r="I16" s="44">
        <v>1808991.7679899998</v>
      </c>
      <c r="J16" s="44">
        <v>319233.84141</v>
      </c>
      <c r="P16" s="62">
        <f t="shared" si="0"/>
        <v>1</v>
      </c>
      <c r="Q16" s="67">
        <f t="shared" si="1"/>
        <v>42917</v>
      </c>
      <c r="R16" s="63">
        <f t="shared" si="2"/>
        <v>42917</v>
      </c>
      <c r="S16" s="62"/>
      <c r="T16" s="64">
        <f t="shared" si="3"/>
        <v>1.0413721995549317</v>
      </c>
      <c r="U16" s="65">
        <f t="shared" si="7"/>
        <v>2106880.73</v>
      </c>
      <c r="V16" s="65">
        <f t="shared" si="8"/>
        <v>1790848.6205</v>
      </c>
      <c r="W16" s="62"/>
      <c r="X16" s="65">
        <f t="shared" si="4"/>
        <v>2043674.3080999998</v>
      </c>
      <c r="Y16" s="65">
        <f t="shared" si="5"/>
        <v>1737123.1618849998</v>
      </c>
      <c r="Z16" s="65">
        <f t="shared" si="6"/>
        <v>306551.14621499996</v>
      </c>
      <c r="AA16" s="62"/>
      <c r="AB16" s="62"/>
      <c r="AC16" s="62"/>
    </row>
    <row r="17" spans="1:29" ht="12.75">
      <c r="A17" s="42">
        <v>8</v>
      </c>
      <c r="B17" s="42">
        <v>2017</v>
      </c>
      <c r="C17" s="44">
        <v>2259566.07</v>
      </c>
      <c r="D17" s="44">
        <v>67786.9821</v>
      </c>
      <c r="E17" s="44">
        <v>2191779.0878999997</v>
      </c>
      <c r="F17" s="45">
        <v>0.03927917483416388</v>
      </c>
      <c r="G17" s="42">
        <v>9</v>
      </c>
      <c r="H17" s="42">
        <v>2017</v>
      </c>
      <c r="I17" s="44">
        <v>1863012.2247149998</v>
      </c>
      <c r="J17" s="44">
        <v>328766.86318499997</v>
      </c>
      <c r="P17" s="62">
        <f t="shared" si="0"/>
        <v>1</v>
      </c>
      <c r="Q17" s="67">
        <f t="shared" si="1"/>
        <v>42948</v>
      </c>
      <c r="R17" s="63">
        <f t="shared" si="2"/>
        <v>42948</v>
      </c>
      <c r="S17" s="62"/>
      <c r="T17" s="64">
        <f t="shared" si="3"/>
        <v>1.0392791748341639</v>
      </c>
      <c r="U17" s="65">
        <f t="shared" si="7"/>
        <v>2174166.6</v>
      </c>
      <c r="V17" s="65">
        <f t="shared" si="8"/>
        <v>1848041.61</v>
      </c>
      <c r="W17" s="62"/>
      <c r="X17" s="65">
        <f t="shared" si="4"/>
        <v>2108941.602</v>
      </c>
      <c r="Y17" s="65">
        <f t="shared" si="5"/>
        <v>1792600.3617</v>
      </c>
      <c r="Z17" s="65">
        <f t="shared" si="6"/>
        <v>316341.2403</v>
      </c>
      <c r="AA17" s="62"/>
      <c r="AB17" s="62"/>
      <c r="AC17" s="62"/>
    </row>
    <row r="18" spans="1:29" ht="12.75">
      <c r="A18" s="42">
        <v>9</v>
      </c>
      <c r="B18" s="42">
        <v>2017</v>
      </c>
      <c r="C18" s="44">
        <v>1918479.29</v>
      </c>
      <c r="D18" s="44">
        <v>57554.3787</v>
      </c>
      <c r="E18" s="44">
        <v>1860924.9113</v>
      </c>
      <c r="F18" s="45">
        <v>0.017754709035031624</v>
      </c>
      <c r="G18" s="42">
        <v>10</v>
      </c>
      <c r="H18" s="42">
        <v>2017</v>
      </c>
      <c r="I18" s="44">
        <v>1581786.174605</v>
      </c>
      <c r="J18" s="44">
        <v>279138.73669499997</v>
      </c>
      <c r="P18" s="62">
        <f t="shared" si="0"/>
        <v>1</v>
      </c>
      <c r="Q18" s="67">
        <f t="shared" si="1"/>
        <v>42979</v>
      </c>
      <c r="R18" s="63">
        <f t="shared" si="2"/>
        <v>42979</v>
      </c>
      <c r="S18" s="62"/>
      <c r="T18" s="64">
        <f t="shared" si="3"/>
        <v>1.0177547090350316</v>
      </c>
      <c r="U18" s="65">
        <f t="shared" si="7"/>
        <v>1885011.46</v>
      </c>
      <c r="V18" s="65">
        <f t="shared" si="8"/>
        <v>1602259.741</v>
      </c>
      <c r="W18" s="62"/>
      <c r="X18" s="65">
        <f t="shared" si="4"/>
        <v>1828461.1161999998</v>
      </c>
      <c r="Y18" s="65">
        <f t="shared" si="5"/>
        <v>1554191.94877</v>
      </c>
      <c r="Z18" s="65">
        <f t="shared" si="6"/>
        <v>274269.16743</v>
      </c>
      <c r="AA18" s="62"/>
      <c r="AB18" s="62"/>
      <c r="AC18" s="62"/>
    </row>
    <row r="19" spans="1:29" ht="12.75">
      <c r="A19" s="13"/>
      <c r="B19" s="13"/>
      <c r="C19" s="14">
        <f>SUM(C7:C18)</f>
        <v>26290563.89</v>
      </c>
      <c r="D19" s="14">
        <f>SUM(D7:D18)</f>
        <v>788716.9167000001</v>
      </c>
      <c r="E19" s="14">
        <f>SUM(E7:E18)</f>
        <v>25501846.9733</v>
      </c>
      <c r="F19" s="19">
        <f>(C19/U19)-1</f>
        <v>0.043701685583197314</v>
      </c>
      <c r="G19" s="13"/>
      <c r="H19" s="13"/>
      <c r="I19" s="14">
        <f>SUM(I7:I18)</f>
        <v>21676569.927304998</v>
      </c>
      <c r="J19" s="14">
        <f>SUM(J7:J18)</f>
        <v>3825277.045995</v>
      </c>
      <c r="K19" s="13"/>
      <c r="P19" s="62">
        <f>SUM(P7:P18)</f>
        <v>12</v>
      </c>
      <c r="Q19" s="62"/>
      <c r="R19" s="66">
        <f>(F7+F8+F9+F10+F11+F12+F13+F14+F15+F16+F17+F18)/P19</f>
        <v>0.04467478523114618</v>
      </c>
      <c r="S19" s="62"/>
      <c r="T19" s="62"/>
      <c r="U19" s="65">
        <f>SUM(U7:U18)</f>
        <v>25189730.22</v>
      </c>
      <c r="V19" s="62"/>
      <c r="W19" s="62"/>
      <c r="X19" s="65">
        <f>IF(P19=1,F19/W19,"")</f>
      </c>
      <c r="Y19" s="62"/>
      <c r="Z19" s="62"/>
      <c r="AA19" s="62"/>
      <c r="AB19" s="62"/>
      <c r="AC19" s="62"/>
    </row>
    <row r="20" spans="16:29" ht="12.75"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6:29" ht="12.75"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6:29" ht="12.75"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6:29" ht="12.75"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51" spans="1:11" ht="12.75">
      <c r="A51" s="13"/>
      <c r="B51" s="13"/>
      <c r="C51" s="13" t="s">
        <v>0</v>
      </c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 t="s">
        <v>45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 t="s">
        <v>46</v>
      </c>
      <c r="D53" s="13"/>
      <c r="E53" s="13"/>
      <c r="F53" s="13"/>
      <c r="G53" s="13"/>
      <c r="H53" s="13"/>
      <c r="I53" s="13" t="s">
        <v>47</v>
      </c>
      <c r="J53" s="13" t="s">
        <v>48</v>
      </c>
      <c r="K53" s="13"/>
    </row>
    <row r="54" spans="1:11" ht="12.75">
      <c r="A54" s="13"/>
      <c r="B54" s="13"/>
      <c r="C54" s="13" t="s">
        <v>17</v>
      </c>
      <c r="D54" s="13"/>
      <c r="E54" s="13">
        <f>+E4</f>
        <v>2016</v>
      </c>
      <c r="F54" s="13" t="s">
        <v>3</v>
      </c>
      <c r="G54" s="13">
        <f>+E4+1</f>
        <v>2017</v>
      </c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 t="s">
        <v>49</v>
      </c>
      <c r="G55" s="13"/>
      <c r="H55" s="13"/>
      <c r="I55" s="13" t="s">
        <v>50</v>
      </c>
      <c r="J55" s="13" t="s">
        <v>23</v>
      </c>
      <c r="K55" s="13"/>
    </row>
    <row r="56" spans="1:11" ht="12.75">
      <c r="A56" s="13" t="s">
        <v>63</v>
      </c>
      <c r="B56" s="13" t="s">
        <v>15</v>
      </c>
      <c r="C56" s="13" t="s">
        <v>19</v>
      </c>
      <c r="D56" s="13" t="s">
        <v>6</v>
      </c>
      <c r="E56" s="13" t="s">
        <v>20</v>
      </c>
      <c r="F56" s="13" t="s">
        <v>8</v>
      </c>
      <c r="G56" s="13" t="s">
        <v>68</v>
      </c>
      <c r="H56" s="13" t="s">
        <v>15</v>
      </c>
      <c r="I56" s="13" t="s">
        <v>51</v>
      </c>
      <c r="J56" s="13" t="s">
        <v>52</v>
      </c>
      <c r="K56" s="13"/>
    </row>
    <row r="57" spans="1:16" ht="12.75">
      <c r="A57">
        <v>1</v>
      </c>
      <c r="B57" t="str">
        <f>+E4&amp;"-"&amp;(E4+1)</f>
        <v>2016-2017</v>
      </c>
      <c r="C57" s="23">
        <f>+C7+C8+C9</f>
        <v>6109277.67</v>
      </c>
      <c r="D57" s="23">
        <f>+D7+D8+D9</f>
        <v>183278.3301</v>
      </c>
      <c r="E57" s="23">
        <f>+E7+E8+E9</f>
        <v>5925999.3399</v>
      </c>
      <c r="F57" s="31">
        <f>(F7+F8+F9)/P57</f>
        <v>0.05967849348844023</v>
      </c>
      <c r="G57">
        <f aca="true" t="shared" si="9" ref="G57:H60">+A57</f>
        <v>1</v>
      </c>
      <c r="H57" s="38" t="str">
        <f t="shared" si="9"/>
        <v>2016-2017</v>
      </c>
      <c r="I57" s="23">
        <f>+I7+I8+I9</f>
        <v>5037099.438914999</v>
      </c>
      <c r="J57" s="23">
        <f>+J7+J8+J9</f>
        <v>888899.900985</v>
      </c>
      <c r="P57" s="40">
        <f>+P7+P8+P9</f>
        <v>3</v>
      </c>
    </row>
    <row r="58" spans="1:16" ht="12.75">
      <c r="A58">
        <v>2</v>
      </c>
      <c r="B58" t="str">
        <f>+B57</f>
        <v>2016-2017</v>
      </c>
      <c r="C58" s="23">
        <f>+C10+C11+C12</f>
        <v>6766133.780000001</v>
      </c>
      <c r="D58" s="23">
        <f>+D10+D11+D12</f>
        <v>202984.0134</v>
      </c>
      <c r="E58" s="23">
        <f>+E10+E11+E12</f>
        <v>6563149.766600001</v>
      </c>
      <c r="F58" s="31">
        <f>(F10+F11+F12)/P58</f>
        <v>0.02468274684710466</v>
      </c>
      <c r="G58">
        <f t="shared" si="9"/>
        <v>2</v>
      </c>
      <c r="H58" s="38" t="str">
        <f t="shared" si="9"/>
        <v>2016-2017</v>
      </c>
      <c r="I58" s="23">
        <f>+I10+I11+I12</f>
        <v>5578677.30161</v>
      </c>
      <c r="J58" s="23">
        <f>+J10+J11+J12</f>
        <v>984472.46499</v>
      </c>
      <c r="P58" s="40">
        <f>+P10+P11+P12</f>
        <v>3</v>
      </c>
    </row>
    <row r="59" spans="1:16" ht="12.75">
      <c r="A59">
        <v>3</v>
      </c>
      <c r="B59" t="str">
        <f>+B57</f>
        <v>2016-2017</v>
      </c>
      <c r="C59" s="23">
        <f>+C13+C14+C15</f>
        <v>7043060.06</v>
      </c>
      <c r="D59" s="23">
        <f>+D13+D14+D15</f>
        <v>211291.80180000002</v>
      </c>
      <c r="E59" s="23">
        <f>+E13+E14+E15</f>
        <v>6831768.258199999</v>
      </c>
      <c r="F59" s="31">
        <f>(F13+F14+F15)/P59</f>
        <v>0.061535872780997446</v>
      </c>
      <c r="G59">
        <f t="shared" si="9"/>
        <v>3</v>
      </c>
      <c r="H59" s="38" t="str">
        <f t="shared" si="9"/>
        <v>2016-2017</v>
      </c>
      <c r="I59" s="23">
        <f>+I13+I14+I15</f>
        <v>5807003.01947</v>
      </c>
      <c r="J59" s="23">
        <f>+J13+J14+J15</f>
        <v>1024765.2387299999</v>
      </c>
      <c r="P59" s="40">
        <f>+P13+P14+P15</f>
        <v>3</v>
      </c>
    </row>
    <row r="60" spans="1:16" ht="12.75">
      <c r="A60">
        <v>4</v>
      </c>
      <c r="B60" t="str">
        <f>+B57</f>
        <v>2016-2017</v>
      </c>
      <c r="C60" s="23">
        <f>+C16+C17+C18</f>
        <v>6372092.38</v>
      </c>
      <c r="D60" s="23">
        <f>+D16+D17+D18</f>
        <v>191162.7714</v>
      </c>
      <c r="E60" s="23">
        <f>+E16+E17+E18</f>
        <v>6180929.6086</v>
      </c>
      <c r="F60" s="31">
        <f>(F16+F17+F18)/P60</f>
        <v>0.03280202780804239</v>
      </c>
      <c r="G60">
        <f t="shared" si="9"/>
        <v>4</v>
      </c>
      <c r="H60" s="38" t="str">
        <f t="shared" si="9"/>
        <v>2016-2017</v>
      </c>
      <c r="I60" s="23">
        <f>+I16+I17+I18</f>
        <v>5253790.1673099995</v>
      </c>
      <c r="J60" s="23">
        <f>+J16+J17+J18</f>
        <v>927139.44129</v>
      </c>
      <c r="P60" s="40">
        <f>+P16+P17+P18</f>
        <v>3</v>
      </c>
    </row>
    <row r="61" spans="1:10" ht="12.75">
      <c r="A61" s="13" t="s">
        <v>61</v>
      </c>
      <c r="B61" s="13"/>
      <c r="C61" s="39">
        <f>SUM(C57:C60)</f>
        <v>26290563.89</v>
      </c>
      <c r="D61" s="39">
        <f>SUM(D57:D60)</f>
        <v>788716.9167</v>
      </c>
      <c r="E61" s="39">
        <f>SUM(E57:E60)</f>
        <v>25501846.973299995</v>
      </c>
      <c r="F61" s="19">
        <f>+F19</f>
        <v>0.043701685583197314</v>
      </c>
      <c r="G61" s="13"/>
      <c r="H61" s="13"/>
      <c r="I61" s="39">
        <f>SUM(I57:I60)</f>
        <v>21676569.927304998</v>
      </c>
      <c r="J61" s="39">
        <f>SUM(J57:J60)</f>
        <v>3825277.045995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3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22.57421875" style="0" customWidth="1"/>
    <col min="2" max="2" width="14.8515625" style="0" customWidth="1"/>
    <col min="3" max="3" width="14.28125" style="0" customWidth="1"/>
    <col min="4" max="4" width="15.421875" style="0" customWidth="1"/>
    <col min="5" max="5" width="29.140625" style="0" customWidth="1"/>
    <col min="6" max="6" width="12.57421875" style="0" customWidth="1"/>
    <col min="7" max="8" width="13.28125" style="0" customWidth="1"/>
    <col min="9" max="9" width="12.421875" style="0" customWidth="1"/>
    <col min="10" max="10" width="9.28125" style="0" bestFit="1" customWidth="1"/>
    <col min="17" max="19" width="9.28125" style="0" bestFit="1" customWidth="1"/>
    <col min="20" max="20" width="10.00390625" style="0" bestFit="1" customWidth="1"/>
    <col min="21" max="23" width="12.57421875" style="0" bestFit="1" customWidth="1"/>
  </cols>
  <sheetData>
    <row r="1" spans="1:29" s="60" customFormat="1" ht="43.5" customHeight="1">
      <c r="A1" s="94">
        <v>9</v>
      </c>
      <c r="B1" s="94">
        <v>2017</v>
      </c>
      <c r="C1" s="94">
        <v>2016</v>
      </c>
      <c r="D1" s="94">
        <v>2015</v>
      </c>
      <c r="E1" s="94">
        <v>5466953.4</v>
      </c>
      <c r="F1" s="94">
        <v>5041110.13</v>
      </c>
      <c r="G1" s="94">
        <v>5026286.99</v>
      </c>
      <c r="H1" s="94">
        <v>505069.06</v>
      </c>
      <c r="I1" s="94">
        <v>478522.63</v>
      </c>
      <c r="J1" s="94">
        <v>476005.87</v>
      </c>
      <c r="K1" s="94">
        <v>2644187.0600000015</v>
      </c>
      <c r="L1" s="94">
        <v>2445161.8499999996</v>
      </c>
      <c r="M1" s="94">
        <v>2422663.41</v>
      </c>
      <c r="N1" s="94">
        <v>1918479.29</v>
      </c>
      <c r="O1" s="94">
        <v>1885011.46</v>
      </c>
      <c r="P1" s="94">
        <v>1880237.37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 t="s">
        <v>74</v>
      </c>
      <c r="AC1" s="95"/>
    </row>
    <row r="2" spans="1:29" ht="12.75">
      <c r="A2" s="61"/>
      <c r="B2" s="61"/>
      <c r="C2" s="61"/>
      <c r="D2" s="61"/>
      <c r="E2" s="61">
        <v>1</v>
      </c>
      <c r="F2" s="61">
        <v>2</v>
      </c>
      <c r="G2" s="61">
        <v>3</v>
      </c>
      <c r="H2" s="61">
        <v>4</v>
      </c>
      <c r="I2" s="61">
        <v>5</v>
      </c>
      <c r="J2" s="61">
        <v>6</v>
      </c>
      <c r="K2" s="61">
        <v>7</v>
      </c>
      <c r="L2" s="61">
        <v>8</v>
      </c>
      <c r="M2" s="61">
        <v>9</v>
      </c>
      <c r="N2" s="61">
        <v>10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1" ht="12.75">
      <c r="A3" s="20">
        <f>+T3</f>
        <v>245</v>
      </c>
      <c r="B3">
        <f>+B1</f>
        <v>2017</v>
      </c>
      <c r="C3">
        <f>+C1</f>
        <v>2016</v>
      </c>
      <c r="D3">
        <f>+D1</f>
        <v>2015</v>
      </c>
      <c r="F3">
        <f>+B1</f>
        <v>2017</v>
      </c>
      <c r="G3">
        <f>+C1</f>
        <v>2016</v>
      </c>
      <c r="H3">
        <f>+D1</f>
        <v>2015</v>
      </c>
      <c r="O3" s="62"/>
      <c r="P3" s="62"/>
      <c r="Q3" s="62"/>
      <c r="R3" s="62"/>
      <c r="S3" s="62"/>
      <c r="T3" s="63">
        <f>DATE(A2,$A$1,1)</f>
        <v>245</v>
      </c>
      <c r="U3" s="67">
        <f>DATE(B3,$A$1,1)</f>
        <v>42979</v>
      </c>
      <c r="V3" s="67">
        <f>DATE(C3,$A$1,1)</f>
        <v>42614</v>
      </c>
      <c r="W3" s="67">
        <f>DATE(D3,$A$1,1)</f>
        <v>42248</v>
      </c>
      <c r="X3" s="62"/>
      <c r="Y3" s="62"/>
      <c r="Z3" s="62"/>
      <c r="AA3" s="62"/>
      <c r="AB3" s="62"/>
      <c r="AC3" s="62"/>
      <c r="AD3" s="62"/>
      <c r="AE3" s="62"/>
    </row>
    <row r="4" spans="1:31" ht="12.75">
      <c r="A4" s="21" t="s">
        <v>55</v>
      </c>
      <c r="B4" s="50">
        <f>+E1</f>
        <v>5466953.4</v>
      </c>
      <c r="C4" s="50">
        <f>+F1</f>
        <v>5041110.13</v>
      </c>
      <c r="D4" s="50">
        <f>+G1</f>
        <v>5026286.99</v>
      </c>
      <c r="E4" s="55" t="s">
        <v>58</v>
      </c>
      <c r="F4" s="52">
        <f>+H1</f>
        <v>505069.06</v>
      </c>
      <c r="G4" s="52">
        <f>+I1</f>
        <v>478522.63</v>
      </c>
      <c r="H4" s="52">
        <f>+J1</f>
        <v>476005.87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ht="12.75">
      <c r="A5" s="21" t="s">
        <v>56</v>
      </c>
      <c r="B5" s="53">
        <f>+(B4/C4)-1</f>
        <v>0.08447410570655411</v>
      </c>
      <c r="C5" s="53"/>
      <c r="D5" s="53"/>
      <c r="E5" s="55" t="s">
        <v>56</v>
      </c>
      <c r="F5" s="53">
        <f>+(F4/G4)-1</f>
        <v>0.05547580894972515</v>
      </c>
      <c r="G5" s="59"/>
      <c r="H5" s="59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ht="12.75">
      <c r="A6" s="21" t="s">
        <v>57</v>
      </c>
      <c r="B6" s="51"/>
      <c r="C6" s="53">
        <f>+(B4/D4)-1</f>
        <v>0.08767235354382352</v>
      </c>
      <c r="D6" s="53"/>
      <c r="E6" s="55" t="s">
        <v>57</v>
      </c>
      <c r="F6" s="59"/>
      <c r="G6" s="53">
        <f>+(F4/H4)-1</f>
        <v>0.061056368905702874</v>
      </c>
      <c r="H6" s="5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2.75">
      <c r="A7" s="21" t="s">
        <v>60</v>
      </c>
      <c r="B7" s="51"/>
      <c r="C7" s="53"/>
      <c r="D7" s="53">
        <f>+(C4/D4)-1</f>
        <v>0.002949123285138855</v>
      </c>
      <c r="E7" s="55" t="s">
        <v>60</v>
      </c>
      <c r="F7" s="59"/>
      <c r="G7" s="59"/>
      <c r="H7" s="53">
        <f>+(G4/H4)-1</f>
        <v>0.005287245722410905</v>
      </c>
      <c r="O7" s="62"/>
      <c r="P7" s="62"/>
      <c r="Q7" s="62"/>
      <c r="R7" s="62"/>
      <c r="S7" s="62"/>
      <c r="T7" s="62">
        <f>IF($A$1=5,"May","")</f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12.75">
      <c r="A8" s="21" t="s">
        <v>54</v>
      </c>
      <c r="B8" s="50">
        <f>+K1</f>
        <v>2644187.0600000015</v>
      </c>
      <c r="C8" s="50">
        <f>+L1</f>
        <v>2445161.8499999996</v>
      </c>
      <c r="D8" s="50">
        <f>+M1</f>
        <v>2422663.41</v>
      </c>
      <c r="E8" s="55" t="s">
        <v>59</v>
      </c>
      <c r="F8" s="50">
        <f>+N1</f>
        <v>1918479.29</v>
      </c>
      <c r="G8" s="50">
        <f>+O1</f>
        <v>1885011.46</v>
      </c>
      <c r="H8" s="50">
        <f>+P1</f>
        <v>1880237.37</v>
      </c>
      <c r="I8" s="22"/>
      <c r="O8" s="62"/>
      <c r="P8" s="62"/>
      <c r="Q8" s="62"/>
      <c r="R8" s="62"/>
      <c r="S8" s="62"/>
      <c r="T8" s="62">
        <f>IF($A$1=6,"June","")</f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12.75">
      <c r="A9" s="21" t="s">
        <v>56</v>
      </c>
      <c r="B9" s="53">
        <f>+(B8/C8)-1</f>
        <v>0.08139551580195059</v>
      </c>
      <c r="C9" s="53"/>
      <c r="D9" s="59"/>
      <c r="E9" s="55" t="s">
        <v>56</v>
      </c>
      <c r="F9" s="53">
        <f>+(F8/G8)-1</f>
        <v>0.017754709035031624</v>
      </c>
      <c r="G9" s="59"/>
      <c r="H9" s="59"/>
      <c r="O9" s="62"/>
      <c r="P9" s="62"/>
      <c r="Q9" s="62"/>
      <c r="R9" s="62"/>
      <c r="S9" s="62"/>
      <c r="T9" s="62">
        <f>IF($A$1=7,"July","")</f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12.75">
      <c r="A10" s="21" t="s">
        <v>57</v>
      </c>
      <c r="B10" s="53"/>
      <c r="C10" s="53">
        <f>+(B8/D8)-1</f>
        <v>0.09143806320168979</v>
      </c>
      <c r="D10" s="59"/>
      <c r="E10" s="55" t="s">
        <v>57</v>
      </c>
      <c r="F10" s="59"/>
      <c r="G10" s="53">
        <f>+(F8/H8)-1</f>
        <v>0.02033887880869001</v>
      </c>
      <c r="H10" s="59"/>
      <c r="O10" s="62"/>
      <c r="P10" s="62"/>
      <c r="Q10" s="62"/>
      <c r="R10" s="62"/>
      <c r="S10" s="62"/>
      <c r="T10" s="62">
        <f>IF($A$1=8,"August","")</f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2.75">
      <c r="A11" s="21" t="s">
        <v>60</v>
      </c>
      <c r="B11" s="51"/>
      <c r="C11" s="53"/>
      <c r="D11" s="53">
        <f>+(C8/D8)-1</f>
        <v>0.009286655301406155</v>
      </c>
      <c r="E11" s="55" t="s">
        <v>60</v>
      </c>
      <c r="F11" s="59"/>
      <c r="G11" s="59"/>
      <c r="H11" s="53">
        <f>+(G8/H8)-1</f>
        <v>0.0025390889874716827</v>
      </c>
      <c r="O11" s="62"/>
      <c r="P11" s="62"/>
      <c r="Q11" s="62"/>
      <c r="R11" s="62"/>
      <c r="S11" s="62"/>
      <c r="T11" s="62" t="str">
        <f>IF($A$1=9,"September","")</f>
        <v>September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2:31" ht="12.75">
      <c r="B12" s="54"/>
      <c r="C12" s="54"/>
      <c r="D12" s="54"/>
      <c r="E12" s="54"/>
      <c r="F12" s="54"/>
      <c r="G12" s="54"/>
      <c r="H12" s="54"/>
      <c r="O12" s="62"/>
      <c r="P12" s="62"/>
      <c r="Q12" s="62"/>
      <c r="R12" s="62"/>
      <c r="S12" s="62"/>
      <c r="T12" s="62">
        <f>IF($A$1=10,"October","")</f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5:31" ht="12.75">
      <c r="O13" s="62"/>
      <c r="P13" s="62"/>
      <c r="Q13" s="62"/>
      <c r="R13" s="62"/>
      <c r="S13" s="62"/>
      <c r="T13" s="62">
        <f>IF($A$1=11,"November","")</f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1" ht="12.75">
      <c r="B14" t="str">
        <f>+A4</f>
        <v>Convention Tax</v>
      </c>
      <c r="C14" t="str">
        <f>+A8</f>
        <v>Tourist Tax (Transient Taxes) </v>
      </c>
      <c r="D14" t="str">
        <f>+E4</f>
        <v>Tourist Tax (Food and Bev.)</v>
      </c>
      <c r="E14" t="str">
        <f>+E8</f>
        <v>Homeless Taxes</v>
      </c>
      <c r="F14" t="s">
        <v>61</v>
      </c>
      <c r="G14" t="s">
        <v>71</v>
      </c>
      <c r="H14" t="s">
        <v>72</v>
      </c>
      <c r="O14" s="62"/>
      <c r="P14" s="62"/>
      <c r="Q14" s="62"/>
      <c r="R14" s="62"/>
      <c r="S14" s="62"/>
      <c r="T14" s="62">
        <f>IF($A$1=12,"December","")</f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 ht="12.75">
      <c r="A15">
        <f>+B1</f>
        <v>2017</v>
      </c>
      <c r="B15" s="23">
        <f>+E1</f>
        <v>5466953.4</v>
      </c>
      <c r="C15" s="23">
        <f>+K1</f>
        <v>2644187.0600000015</v>
      </c>
      <c r="D15" s="23">
        <f>+H1</f>
        <v>505069.06</v>
      </c>
      <c r="E15" s="23">
        <f>+N1</f>
        <v>1918479.29</v>
      </c>
      <c r="F15" s="23">
        <f>SUM(B15:E15)</f>
        <v>10534688.810000002</v>
      </c>
      <c r="G15" s="23">
        <f>+B15+C15</f>
        <v>8111140.460000002</v>
      </c>
      <c r="H15" s="23">
        <f>+D15+E15</f>
        <v>2423548.35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1" ht="12.75">
      <c r="A16">
        <f>+C3</f>
        <v>2016</v>
      </c>
      <c r="B16" s="23">
        <f>+F1</f>
        <v>5041110.13</v>
      </c>
      <c r="C16" s="23">
        <f>+L1</f>
        <v>2445161.8499999996</v>
      </c>
      <c r="D16" s="23">
        <f>+I1</f>
        <v>478522.63</v>
      </c>
      <c r="E16" s="23">
        <f>+O1</f>
        <v>1885011.46</v>
      </c>
      <c r="F16" s="23">
        <f>SUM(B16:E16)</f>
        <v>9849806.07</v>
      </c>
      <c r="G16" s="23">
        <f>+B16+C16</f>
        <v>7486271.9799999995</v>
      </c>
      <c r="H16" s="23">
        <f>+D16+E16</f>
        <v>2363534.09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12.75">
      <c r="A17" s="10">
        <f>+D3</f>
        <v>2015</v>
      </c>
      <c r="B17" s="23">
        <f>+G1</f>
        <v>5026286.99</v>
      </c>
      <c r="C17" s="23">
        <f>+M1</f>
        <v>2422663.41</v>
      </c>
      <c r="D17" s="23">
        <f>+J1</f>
        <v>476005.87</v>
      </c>
      <c r="E17" s="23">
        <f>+P1</f>
        <v>1880237.37</v>
      </c>
      <c r="F17" s="23">
        <f>SUM(B17:E17)</f>
        <v>9805193.64</v>
      </c>
      <c r="G17" s="23">
        <f>+B17+C17</f>
        <v>7448950.4</v>
      </c>
      <c r="H17" s="23">
        <f>+D17+E17</f>
        <v>2356243.24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5:31" ht="12.75"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5:31" ht="12.75"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5:31" ht="12.75"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5:31" ht="12.75"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5:31" ht="12.75"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5:31" ht="12.75"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5:31" ht="12.75"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5:31" ht="12.75"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39" spans="2:4" ht="12.75">
      <c r="B39" s="23"/>
      <c r="C39" s="23"/>
      <c r="D39" s="23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2017-03-30T19:18:25Z</cp:lastPrinted>
  <dcterms:created xsi:type="dcterms:W3CDTF">1996-10-14T23:33:28Z</dcterms:created>
  <dcterms:modified xsi:type="dcterms:W3CDTF">2018-02-06T19:59:42Z</dcterms:modified>
  <cp:category/>
  <cp:version/>
  <cp:contentType/>
  <cp:contentStatus/>
</cp:coreProperties>
</file>