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24000" windowHeight="15435" tabRatio="941" activeTab="6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SlotMachineTable" sheetId="5" r:id="rId5"/>
    <sheet name="HomelessTaxTable" sheetId="6" r:id="rId6"/>
    <sheet name="MonthlyTotals" sheetId="7" r:id="rId7"/>
  </sheets>
  <externalReferences>
    <externalReference r:id="rId10"/>
  </externalReference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'MonthlyTotals'!$A$3:$H$11</definedName>
    <definedName name="_xlnm.Print_Area" localSheetId="0">'ConventionTaxTable'!$A$8:$H$8</definedName>
    <definedName name="_xlnm.Print_Area" localSheetId="3">'FoodandBeverageTaxTable'!$A$6:$C$15</definedName>
    <definedName name="_xlnm.Print_Area" localSheetId="5">'HomelessTaxTable'!$E$6:$E$18</definedName>
    <definedName name="_xlnm.Print_Area" localSheetId="6">'MonthlyTotals'!$A$3:$H$11</definedName>
    <definedName name="_xlnm.Print_Area" localSheetId="2">'SportsTaxTable'!$A$51:$I$60</definedName>
    <definedName name="_xlnm.Print_Area" localSheetId="1">'TouristTaxTable'!$E$6:$E$15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'MonthlyTotals'!$A$2:$H$12</definedName>
  </definedNames>
  <calcPr fullCalcOnLoad="1"/>
</workbook>
</file>

<file path=xl/sharedStrings.xml><?xml version="1.0" encoding="utf-8"?>
<sst xmlns="http://schemas.openxmlformats.org/spreadsheetml/2006/main" count="257" uniqueCount="87">
  <si>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</si>
  <si>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</si>
  <si>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</si>
  <si>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</si>
  <si>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</si>
  <si>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</si>
  <si>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</si>
  <si>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</si>
  <si>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</si>
  <si>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</si>
  <si>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</si>
  <si>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</si>
  <si>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</si>
  <si>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</si>
  <si>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</si>
  <si>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</si>
  <si>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</si>
  <si>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</si>
  <si>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</si>
  <si>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</si>
  <si>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</si>
  <si>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</si>
  <si>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</si>
  <si>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</si>
  <si>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</si>
  <si>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</si>
  <si>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</si>
  <si>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</si>
  <si>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</si>
  <si>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</si>
  <si>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</si>
  <si>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</si>
  <si>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</si>
  <si>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</si>
  <si>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</si>
  <si>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</si>
  <si>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</si>
  <si>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</si>
  <si>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</si>
  <si>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</si>
  <si>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</si>
  <si>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</si>
  <si>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</si>
  <si>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</si>
  <si>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</si>
  <si>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</si>
  <si>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</si>
  <si>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</si>
  <si>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</si>
  <si>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</si>
  <si>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</si>
  <si>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</si>
  <si>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</si>
  <si>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</si>
  <si>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 xml:space="preserve">Tourist Tax (Transient Taxes) </t>
  </si>
  <si>
    <t>Convention Tax</t>
  </si>
  <si>
    <t>This Year vs. Last Year</t>
  </si>
  <si>
    <t>This Year vs. Two Years Ago</t>
  </si>
  <si>
    <t>Tourist Tax (Food and Bev.)</t>
  </si>
  <si>
    <t>Homeless Taxes</t>
  </si>
  <si>
    <t>Last Year vs. Two Years Ago</t>
  </si>
  <si>
    <t>Total</t>
  </si>
  <si>
    <t>TDC 800,000</t>
  </si>
  <si>
    <t>Qtr.</t>
  </si>
  <si>
    <t>Quarterly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</si>
  <si>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</si>
  <si>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</si>
  <si>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</si>
  <si>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</si>
  <si>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>Totals</t>
  </si>
  <si>
    <t xml:space="preserve"> TOTAL</t>
  </si>
  <si>
    <t>Rooms</t>
  </si>
  <si>
    <t>Food &amp; Bev</t>
  </si>
  <si>
    <t>.</t>
  </si>
  <si>
    <t>Metropolitan Dade County - Slot Machine Tax</t>
  </si>
  <si>
    <t xml:space="preserve">1 1/2 % Tax </t>
  </si>
  <si>
    <t>Fiscal Year</t>
  </si>
  <si>
    <t>Net Amount</t>
  </si>
  <si>
    <t>Net Collected</t>
  </si>
  <si>
    <t xml:space="preserve">Distribution to </t>
  </si>
  <si>
    <t>Subfund 162</t>
  </si>
  <si>
    <t>TDC Fixed</t>
  </si>
  <si>
    <t>Cultural Affiars</t>
  </si>
  <si>
    <t>Miami Dade</t>
  </si>
  <si>
    <t>Total Sub 152</t>
  </si>
  <si>
    <t>Minus County Support</t>
  </si>
  <si>
    <t>Last Year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</si>
</sst>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  <numFmt numFmtId="182" formatCode="#,##0.00000000000000"/>
    <numFmt numFmtId="183" formatCode="\$#,##0.00"/>
    <numFmt numFmtId="184" formatCode="#,##0.000000000000_);\(#,##0.000000000000\)"/>
    <numFmt numFmtId="185" formatCode="[$€-2]\ #,##0.00_);[Red]\([$€-2]\ #,##0.00\)"/>
    <numFmt numFmtId="186" formatCode="_(&quot;$&quot;* #,##0_);_(&quot;$&quot;* \(#,##0\);_(&quot;$&quot;* &quot;-&quot;??_);_(@_)"/>
    <numFmt numFmtId="187" formatCode="[$-409]dddd\,\ mmmm\ dd\,\ yyyy"/>
  </numFmts>
  <fonts count="75">
    <font>
      <sz val="10"/>
      <name val="Arial"/>
      <family val="0"/>
    </font>
    <font>
      <b/>
      <sz val="10"/>
      <name val="Arial"/>
      <family val="2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name val="Arial"/>
      <family val="2"/>
    </font>
    <font>
      <sz val="23"/>
      <color indexed="8"/>
      <name val="Arial"/>
      <family val="0"/>
    </font>
    <font>
      <sz val="7.75"/>
      <color indexed="8"/>
      <name val="Arial"/>
      <family val="0"/>
    </font>
    <font>
      <sz val="19.5"/>
      <color indexed="8"/>
      <name val="Arial"/>
      <family val="0"/>
    </font>
    <font>
      <sz val="6.2"/>
      <color indexed="8"/>
      <name val="Arial"/>
      <family val="0"/>
    </font>
    <font>
      <sz val="20.5"/>
      <color indexed="8"/>
      <name val="Arial"/>
      <family val="0"/>
    </font>
    <font>
      <sz val="10.5"/>
      <color indexed="8"/>
      <name val="Arial"/>
      <family val="0"/>
    </font>
    <font>
      <sz val="9.25"/>
      <color indexed="8"/>
      <name val="Arial"/>
      <family val="0"/>
    </font>
    <font>
      <sz val="20"/>
      <color indexed="8"/>
      <name val="Arial"/>
      <family val="0"/>
    </font>
    <font>
      <sz val="11"/>
      <color indexed="8"/>
      <name val="Arial"/>
      <family val="0"/>
    </font>
    <font>
      <sz val="8.75"/>
      <color indexed="8"/>
      <name val="Arial"/>
      <family val="0"/>
    </font>
    <font>
      <sz val="6.8"/>
      <color indexed="8"/>
      <name val="Arial"/>
      <family val="0"/>
    </font>
    <font>
      <sz val="18.25"/>
      <color indexed="8"/>
      <name val="Arial"/>
      <family val="0"/>
    </font>
    <font>
      <sz val="21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b/>
      <sz val="12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  <font>
      <b/>
      <sz val="21"/>
      <color indexed="8"/>
      <name val="Arial"/>
      <family val="0"/>
    </font>
    <font>
      <b/>
      <sz val="2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8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0" fontId="0" fillId="35" borderId="0" xfId="0" applyFill="1" applyAlignment="1">
      <alignment/>
    </xf>
    <xf numFmtId="8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8" fontId="0" fillId="38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0" fillId="39" borderId="0" xfId="0" applyFill="1" applyAlignment="1">
      <alignment/>
    </xf>
    <xf numFmtId="8" fontId="0" fillId="39" borderId="0" xfId="0" applyNumberFormat="1" applyFill="1" applyAlignment="1">
      <alignment/>
    </xf>
    <xf numFmtId="10" fontId="0" fillId="39" borderId="0" xfId="0" applyNumberFormat="1" applyFill="1" applyAlignment="1">
      <alignment/>
    </xf>
    <xf numFmtId="10" fontId="0" fillId="38" borderId="0" xfId="0" applyNumberFormat="1" applyFill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40" borderId="10" xfId="0" applyFill="1" applyBorder="1" applyAlignment="1">
      <alignment/>
    </xf>
    <xf numFmtId="0" fontId="3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34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65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65" fontId="0" fillId="40" borderId="10" xfId="0" applyNumberFormat="1" applyFill="1" applyBorder="1" applyAlignment="1">
      <alignment/>
    </xf>
    <xf numFmtId="0" fontId="5" fillId="0" borderId="0" xfId="0" applyFont="1" applyAlignment="1">
      <alignment/>
    </xf>
    <xf numFmtId="165" fontId="0" fillId="3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75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0" fillId="40" borderId="11" xfId="0" applyFill="1" applyBorder="1" applyAlignment="1">
      <alignment/>
    </xf>
    <xf numFmtId="4" fontId="0" fillId="0" borderId="0" xfId="0" applyNumberFormat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8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72" fillId="0" borderId="0" xfId="0" applyFont="1" applyAlignment="1">
      <alignment/>
    </xf>
    <xf numFmtId="167" fontId="72" fillId="0" borderId="0" xfId="0" applyNumberFormat="1" applyFont="1" applyAlignment="1">
      <alignment/>
    </xf>
    <xf numFmtId="169" fontId="72" fillId="0" borderId="0" xfId="0" applyNumberFormat="1" applyFont="1" applyAlignment="1">
      <alignment/>
    </xf>
    <xf numFmtId="166" fontId="72" fillId="0" borderId="0" xfId="0" applyNumberFormat="1" applyFont="1" applyAlignment="1">
      <alignment/>
    </xf>
    <xf numFmtId="10" fontId="72" fillId="0" borderId="0" xfId="0" applyNumberFormat="1" applyFont="1" applyAlignment="1">
      <alignment/>
    </xf>
    <xf numFmtId="164" fontId="72" fillId="0" borderId="0" xfId="0" applyNumberFormat="1" applyFont="1" applyAlignment="1">
      <alignment/>
    </xf>
    <xf numFmtId="0" fontId="73" fillId="0" borderId="0" xfId="0" applyFont="1" applyAlignment="1">
      <alignment/>
    </xf>
    <xf numFmtId="175" fontId="73" fillId="0" borderId="0" xfId="0" applyNumberFormat="1" applyFont="1" applyAlignment="1">
      <alignment horizontal="right"/>
    </xf>
    <xf numFmtId="1" fontId="72" fillId="0" borderId="0" xfId="0" applyNumberFormat="1" applyFont="1" applyAlignment="1">
      <alignment/>
    </xf>
    <xf numFmtId="0" fontId="74" fillId="0" borderId="0" xfId="0" applyFont="1" applyAlignment="1">
      <alignment/>
    </xf>
    <xf numFmtId="175" fontId="74" fillId="0" borderId="0" xfId="0" applyNumberFormat="1" applyFont="1" applyAlignment="1">
      <alignment/>
    </xf>
    <xf numFmtId="0" fontId="74" fillId="0" borderId="0" xfId="0" applyFont="1" applyAlignment="1">
      <alignment/>
    </xf>
    <xf numFmtId="166" fontId="9" fillId="37" borderId="0" xfId="0" applyNumberFormat="1" applyFont="1" applyFill="1" applyAlignment="1">
      <alignment/>
    </xf>
    <xf numFmtId="4" fontId="0" fillId="37" borderId="0" xfId="0" applyNumberFormat="1" applyFill="1" applyAlignment="1">
      <alignment/>
    </xf>
    <xf numFmtId="0" fontId="4" fillId="0" borderId="12" xfId="0" applyFont="1" applyBorder="1" applyAlignment="1">
      <alignment horizontal="right"/>
    </xf>
    <xf numFmtId="175" fontId="4" fillId="0" borderId="12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7" fontId="0" fillId="0" borderId="0" xfId="0" applyNumberFormat="1" applyFont="1" applyAlignment="1">
      <alignment/>
    </xf>
    <xf numFmtId="0" fontId="0" fillId="42" borderId="0" xfId="0" applyFont="1" applyFill="1" applyAlignment="1">
      <alignment/>
    </xf>
    <xf numFmtId="0" fontId="2" fillId="43" borderId="13" xfId="0" applyFont="1" applyFill="1" applyBorder="1" applyAlignment="1">
      <alignment horizontal="right"/>
    </xf>
    <xf numFmtId="0" fontId="0" fillId="4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2" fontId="72" fillId="0" borderId="0" xfId="0" applyNumberFormat="1" applyFont="1" applyAlignment="1">
      <alignment/>
    </xf>
    <xf numFmtId="0" fontId="0" fillId="38" borderId="0" xfId="0" applyFont="1" applyFill="1" applyAlignment="1">
      <alignment/>
    </xf>
    <xf numFmtId="184" fontId="72" fillId="0" borderId="0" xfId="0" applyNumberFormat="1" applyFont="1" applyAlignment="1">
      <alignment/>
    </xf>
    <xf numFmtId="175" fontId="72" fillId="0" borderId="0" xfId="0" applyNumberFormat="1" applyFont="1" applyAlignment="1">
      <alignment horizontal="right"/>
    </xf>
    <xf numFmtId="165" fontId="7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72" fillId="4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16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8625"/>
          <c:w val="0.804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2019 - 2020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/>
            </c:strRef>
          </c:cat>
          <c:val>
            <c:numRef>
              <c:f>ConventionTaxTable!$C$6:$C$17</c:f>
              <c:numCache/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2018 - 2019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/>
            </c:numRef>
          </c:val>
        </c:ser>
        <c:axId val="58002096"/>
        <c:axId val="52256817"/>
      </c:barChart>
      <c:dateAx>
        <c:axId val="5800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681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225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25"/>
          <c:y val="0.0365"/>
          <c:w val="0.080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65"/>
          <c:w val="0.835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2019 - 2020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2018 - 2019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549306"/>
        <c:axId val="4943755"/>
      </c:barChart>
      <c:dateAx>
        <c:axId val="54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943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05625"/>
          <c:w val="0.120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785"/>
          <c:w val="0.757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2019 - 2020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/>
            </c:strRef>
          </c:cat>
          <c:val>
            <c:numRef>
              <c:f>SportsTaxTable!$C$6:$C$17</c:f>
              <c:numCache/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2018 - 2019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/>
            </c:numRef>
          </c:val>
        </c:ser>
        <c:axId val="44493796"/>
        <c:axId val="64899845"/>
      </c:barChart>
      <c:dateAx>
        <c:axId val="44493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36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489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3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056"/>
          <c:w val="0.14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795"/>
          <c:w val="0.780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2019 - 2020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2018 - 2019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47227694"/>
        <c:axId val="22396063"/>
      </c:barChart>
      <c:date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auto val="0"/>
        <c:baseTimeUnit val="months"/>
        <c:majorUnit val="2"/>
        <c:majorTimeUnit val="months"/>
        <c:minorUnit val="1"/>
        <c:minorTimeUnit val="days"/>
        <c:noMultiLvlLbl val="0"/>
      </c:dateAx>
      <c:valAx>
        <c:axId val="2239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02525"/>
          <c:w val="0.11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Slot Machine Collections</a:t>
            </a:r>
          </a:p>
        </c:rich>
      </c:tx>
      <c:layout>
        <c:manualLayout>
          <c:xMode val="factor"/>
          <c:yMode val="factor"/>
          <c:x val="-0.02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83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SlotMachineTable!$C$4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SlotMachineTable!$P$6:$P$17</c:f>
              <c:strCache/>
            </c:strRef>
          </c:cat>
          <c:val>
            <c:numRef>
              <c:f>SlotMachineTable!$C$6:$C$17</c:f>
              <c:numCache/>
            </c:numRef>
          </c:val>
        </c:ser>
        <c:ser>
          <c:idx val="1"/>
          <c:order val="1"/>
          <c:tx>
            <c:strRef>
              <c:f>SlotMachineTable!$J$4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SlotMachineTable!$I$6:$I$17</c:f>
              <c:numCache/>
            </c:numRef>
          </c:val>
        </c:ser>
        <c:axId val="237976"/>
        <c:axId val="2141785"/>
      </c:barChart>
      <c:catAx>
        <c:axId val="237976"/>
        <c:scaling>
          <c:orientation val="minMax"/>
        </c:scaling>
        <c:axPos val="b"/>
        <c:delete val="0"/>
        <c:numFmt formatCode="mmmm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785"/>
        <c:crosses val="autoZero"/>
        <c:auto val="0"/>
        <c:lblOffset val="0"/>
        <c:tickLblSkip val="1"/>
        <c:noMultiLvlLbl val="0"/>
      </c:catAx>
      <c:valAx>
        <c:axId val="21417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7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4405"/>
          <c:w val="0.119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84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20075"/>
          <c:w val="0.9055"/>
          <c:h val="0.6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2019 - 2020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/>
            </c:strRef>
          </c:cat>
          <c:val>
            <c:numRef>
              <c:f>HomelessTaxTable!$C$7:$C$18</c:f>
              <c:numCache/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2018 - 2019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/>
            </c:numRef>
          </c:val>
        </c:ser>
        <c:axId val="19276066"/>
        <c:axId val="39266867"/>
      </c:barChart>
      <c:dateAx>
        <c:axId val="1927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86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926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023"/>
          <c:w val="0.095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Collection Summary</a:t>
            </a:r>
          </a:p>
        </c:rich>
      </c:tx>
      <c:layout>
        <c:manualLayout>
          <c:xMode val="factor"/>
          <c:yMode val="factor"/>
          <c:x val="-0.008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875"/>
          <c:w val="0.8662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MonthlyTotals!$A$15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MonthlyTotals!$B$15:$H$15</c:f>
              <c:numCache/>
            </c:numRef>
          </c:val>
        </c:ser>
        <c:ser>
          <c:idx val="1"/>
          <c:order val="1"/>
          <c:tx>
            <c:strRef>
              <c:f>MonthlyTotals!$A$16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MonthlyTotals!$B$16:$H$16</c:f>
              <c:numCache/>
            </c:numRef>
          </c:val>
        </c:ser>
        <c:ser>
          <c:idx val="2"/>
          <c:order val="2"/>
          <c:tx>
            <c:strRef>
              <c:f>MonthlyTotals!$A$17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MonthlyTotals!$B$17:$H$17</c:f>
              <c:numCache/>
            </c:numRef>
          </c:val>
        </c:ser>
        <c:axId val="17857484"/>
        <c:axId val="26499629"/>
      </c:barChart>
      <c:catAx>
        <c:axId val="178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Type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7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02"/>
          <c:w val="0.145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107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8</xdr:col>
      <xdr:colOff>1009650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9525" y="665797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33725"/>
        <a:ext cx="7639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9</xdr:col>
      <xdr:colOff>9525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0" y="6838950"/>
        <a:ext cx="86106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142875</xdr:rowOff>
    </xdr:from>
    <xdr:to>
      <xdr:col>8</xdr:col>
      <xdr:colOff>257175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238125" y="3219450"/>
        <a:ext cx="90963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15</xdr:col>
      <xdr:colOff>66675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8575" y="3086100"/>
        <a:ext cx="12801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8</xdr:col>
      <xdr:colOff>219075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419350"/>
        <a:ext cx="9248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TC-TaxCollec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ntionTaxTable"/>
      <sheetName val="TouristTaxTable"/>
      <sheetName val="SportsTaxTable"/>
      <sheetName val="FoodandBeverageTaxTable"/>
      <sheetName val="SlotMachineTable"/>
      <sheetName val="HomelessTaxTable"/>
      <sheetName val="MonthlyTotals"/>
    </sheetNames>
    <definedNames>
      <definedName name="Macro4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68"/>
  <sheetViews>
    <sheetView zoomScalePageLayoutView="0" workbookViewId="0" topLeftCell="A1">
      <selection activeCell="A17" sqref="A17:H17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16.00390625" style="0" customWidth="1"/>
    <col min="5" max="5" width="27.00390625" style="0" customWidth="1"/>
    <col min="6" max="6" width="9.140625" style="0" customWidth="1"/>
    <col min="8" max="8" width="10.710937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59" bestFit="1" customWidth="1"/>
  </cols>
  <sheetData>
    <row r="1" spans="1:43" ht="12.75">
      <c r="A1" s="3"/>
      <c r="B1" s="3"/>
      <c r="C1" s="3" t="s">
        <v>0</v>
      </c>
      <c r="D1" s="3"/>
      <c r="E1" s="3"/>
      <c r="F1" s="3"/>
      <c r="G1" s="3"/>
      <c r="H1" s="3"/>
      <c r="I1" s="3"/>
      <c r="J1" s="65"/>
      <c r="K1" s="65"/>
      <c r="L1" s="65"/>
      <c r="M1" s="65"/>
      <c r="N1" s="65"/>
      <c r="O1" s="65"/>
      <c r="P1" s="59"/>
      <c r="Q1" s="59"/>
      <c r="R1" s="59"/>
      <c r="S1" s="59"/>
      <c r="T1" s="59"/>
      <c r="U1" s="59">
        <f>+D3-1</f>
        <v>2018</v>
      </c>
      <c r="V1" s="59" t="s">
        <v>3</v>
      </c>
      <c r="W1" s="59">
        <f>+D3</f>
        <v>2019</v>
      </c>
      <c r="X1" s="59"/>
      <c r="Y1" s="59"/>
      <c r="Z1" s="59"/>
      <c r="AA1" s="59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1:43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65"/>
      <c r="K2" s="65"/>
      <c r="L2" s="65"/>
      <c r="M2" s="65"/>
      <c r="N2" s="65"/>
      <c r="O2" s="65"/>
      <c r="P2" s="59"/>
      <c r="Q2" s="59"/>
      <c r="R2" s="59"/>
      <c r="S2" s="59"/>
      <c r="T2" s="59"/>
      <c r="V2" s="59"/>
      <c r="W2" s="59"/>
      <c r="X2" s="59"/>
      <c r="Y2" s="59"/>
      <c r="Z2" s="59"/>
      <c r="AA2" s="59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spans="1:43" ht="12.75">
      <c r="A3" s="3" t="s">
        <v>2</v>
      </c>
      <c r="B3" s="3"/>
      <c r="C3" s="3"/>
      <c r="D3" s="3">
        <f>+B6</f>
        <v>2019</v>
      </c>
      <c r="E3" s="3" t="s">
        <v>3</v>
      </c>
      <c r="F3" s="3">
        <f>+B6+1</f>
        <v>2020</v>
      </c>
      <c r="G3" s="3"/>
      <c r="H3" s="3"/>
      <c r="I3" s="3"/>
      <c r="J3" s="65"/>
      <c r="K3" s="65"/>
      <c r="L3" s="65"/>
      <c r="M3" s="65"/>
      <c r="N3" s="68"/>
      <c r="O3" s="68"/>
      <c r="P3" s="59"/>
      <c r="Q3" s="59"/>
      <c r="R3" s="59"/>
      <c r="S3" s="59"/>
      <c r="T3" s="59"/>
      <c r="V3" s="59"/>
      <c r="W3" s="59"/>
      <c r="X3" s="59"/>
      <c r="Y3" s="59"/>
      <c r="Z3" s="59"/>
      <c r="AA3" s="59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43" ht="12.75">
      <c r="A4" t="s">
        <v>4</v>
      </c>
      <c r="C4" t="s">
        <v>5</v>
      </c>
      <c r="D4" t="s">
        <v>6</v>
      </c>
      <c r="E4" t="s">
        <v>79</v>
      </c>
      <c r="F4" t="s">
        <v>8</v>
      </c>
      <c r="G4" t="s">
        <v>9</v>
      </c>
      <c r="I4" s="65" t="s">
        <v>86</v>
      </c>
      <c r="J4" s="65"/>
      <c r="K4" s="65"/>
      <c r="L4" s="65"/>
      <c r="M4" s="65"/>
      <c r="N4" s="68"/>
      <c r="O4" s="68"/>
      <c r="P4" s="59"/>
      <c r="Q4" s="59"/>
      <c r="R4" s="59"/>
      <c r="S4" s="59"/>
      <c r="T4" s="59"/>
      <c r="V4" s="59"/>
      <c r="W4" s="59"/>
      <c r="X4" s="59"/>
      <c r="Y4" s="59"/>
      <c r="Z4" s="59"/>
      <c r="AA4" s="59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43" ht="12.75">
      <c r="A5" t="s">
        <v>14</v>
      </c>
      <c r="B5" t="s">
        <v>15</v>
      </c>
      <c r="E5" t="s">
        <v>80</v>
      </c>
      <c r="G5" t="s">
        <v>14</v>
      </c>
      <c r="H5" t="s">
        <v>15</v>
      </c>
      <c r="I5" s="65"/>
      <c r="J5" s="65"/>
      <c r="K5" s="65"/>
      <c r="L5" s="65"/>
      <c r="M5" s="65"/>
      <c r="N5" s="68"/>
      <c r="O5" s="68"/>
      <c r="P5" s="59"/>
      <c r="Q5" s="59"/>
      <c r="R5" s="59"/>
      <c r="S5" s="59"/>
      <c r="T5" s="59"/>
      <c r="V5" s="59"/>
      <c r="W5" s="59"/>
      <c r="X5" s="59"/>
      <c r="Y5" s="59"/>
      <c r="Z5" s="59"/>
      <c r="AA5" s="59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ht="12.75">
      <c r="A6" s="42">
        <v>10</v>
      </c>
      <c r="B6" s="42">
        <v>2019</v>
      </c>
      <c r="C6" s="44">
        <v>4935160.78</v>
      </c>
      <c r="D6" s="44">
        <v>98703.21560000001</v>
      </c>
      <c r="E6" s="44">
        <v>4836457.5644000005</v>
      </c>
      <c r="F6" s="45">
        <v>-0.01935771891000515</v>
      </c>
      <c r="G6" s="42">
        <v>11</v>
      </c>
      <c r="H6" s="42">
        <v>2019</v>
      </c>
      <c r="I6" s="66">
        <f aca="true" t="shared" si="0" ref="I6:I17">+U6</f>
        <v>5032580.05</v>
      </c>
      <c r="J6" s="66"/>
      <c r="K6" s="66"/>
      <c r="L6" s="66"/>
      <c r="M6" s="65"/>
      <c r="N6" s="68"/>
      <c r="O6" s="68">
        <f>IF(A6&gt;0,1,0)</f>
        <v>1</v>
      </c>
      <c r="P6" s="60">
        <f>IF(O6=1,DATE(B6,A6,1),"")</f>
        <v>43739</v>
      </c>
      <c r="Q6" s="59"/>
      <c r="R6" s="59"/>
      <c r="S6" s="59"/>
      <c r="T6" s="61">
        <f>IF(O6=1,(F6+1),0)</f>
        <v>0.9806422810899948</v>
      </c>
      <c r="U6" s="62">
        <f>IF(O6=1,C6/T6,0)</f>
        <v>5032580.05</v>
      </c>
      <c r="V6" s="59"/>
      <c r="W6" s="59"/>
      <c r="X6" s="59"/>
      <c r="Y6" s="59"/>
      <c r="Z6" s="59"/>
      <c r="AA6" s="59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ht="12.75">
      <c r="A7" s="42">
        <v>11</v>
      </c>
      <c r="B7" s="42">
        <v>2019</v>
      </c>
      <c r="C7" s="44">
        <v>5924416.04</v>
      </c>
      <c r="D7" s="44">
        <v>118488.3208</v>
      </c>
      <c r="E7" s="44">
        <v>5805927.7192</v>
      </c>
      <c r="F7" s="45">
        <v>0.03155075024332854</v>
      </c>
      <c r="G7" s="42">
        <v>12</v>
      </c>
      <c r="H7" s="42">
        <v>2019</v>
      </c>
      <c r="I7" s="66">
        <f t="shared" si="0"/>
        <v>5743213.35</v>
      </c>
      <c r="J7" s="66"/>
      <c r="K7" s="66"/>
      <c r="L7" s="66"/>
      <c r="M7" s="65"/>
      <c r="N7" s="68"/>
      <c r="O7" s="68">
        <f aca="true" t="shared" si="1" ref="O7:O17">IF(A7&gt;0,1,0)</f>
        <v>1</v>
      </c>
      <c r="P7" s="60">
        <f aca="true" t="shared" si="2" ref="P7:P17">IF(O7=1,DATE(B7,A7,1)," ")</f>
        <v>43770</v>
      </c>
      <c r="Q7" s="59"/>
      <c r="R7" s="59"/>
      <c r="S7" s="59"/>
      <c r="T7" s="61">
        <f>IF(O7=1,(F7+1),0)</f>
        <v>1.0315507502433285</v>
      </c>
      <c r="U7" s="62">
        <f aca="true" t="shared" si="3" ref="U7:U17">IF(O7=1,C7/T7,0)</f>
        <v>5743213.35</v>
      </c>
      <c r="V7" s="59"/>
      <c r="W7" s="59"/>
      <c r="X7" s="59"/>
      <c r="Y7" s="59"/>
      <c r="Z7" s="59"/>
      <c r="AA7" s="59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1:43" ht="12.75">
      <c r="A8" s="42">
        <v>12</v>
      </c>
      <c r="B8" s="42">
        <v>2019</v>
      </c>
      <c r="C8" s="44">
        <v>7234101.64</v>
      </c>
      <c r="D8" s="44">
        <v>144682.0328</v>
      </c>
      <c r="E8" s="44">
        <v>7089419.6071999995</v>
      </c>
      <c r="F8" s="45">
        <v>0.07109006176442745</v>
      </c>
      <c r="G8" s="42">
        <v>1</v>
      </c>
      <c r="H8" s="42">
        <v>2020</v>
      </c>
      <c r="I8" s="66">
        <f t="shared" si="0"/>
        <v>6753962.06</v>
      </c>
      <c r="J8" s="66"/>
      <c r="K8" s="66"/>
      <c r="L8" s="66"/>
      <c r="M8" s="65"/>
      <c r="N8" s="68"/>
      <c r="O8" s="68">
        <f>IF(A8&gt;0,1,0)</f>
        <v>1</v>
      </c>
      <c r="P8" s="60">
        <f t="shared" si="2"/>
        <v>43800</v>
      </c>
      <c r="Q8" s="59"/>
      <c r="R8" s="59"/>
      <c r="S8" s="59"/>
      <c r="T8" s="61">
        <f aca="true" t="shared" si="4" ref="T8:T17">IF(O8=1,(F8+1),0)</f>
        <v>1.0710900617644274</v>
      </c>
      <c r="U8" s="62">
        <f t="shared" si="3"/>
        <v>6753962.06</v>
      </c>
      <c r="V8" s="59"/>
      <c r="W8" s="59"/>
      <c r="X8" s="59"/>
      <c r="Y8" s="59"/>
      <c r="Z8" s="59"/>
      <c r="AA8" s="59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spans="1:43" ht="12.75">
      <c r="A9" s="42">
        <v>1</v>
      </c>
      <c r="B9" s="42">
        <v>2020</v>
      </c>
      <c r="C9" s="44">
        <v>10766002.44</v>
      </c>
      <c r="D9" s="44">
        <v>215320.0488</v>
      </c>
      <c r="E9" s="44">
        <v>10550682.391199999</v>
      </c>
      <c r="F9" s="45">
        <v>0.10449549261093094</v>
      </c>
      <c r="G9" s="42">
        <v>2</v>
      </c>
      <c r="H9" s="42">
        <v>2020</v>
      </c>
      <c r="I9" s="66">
        <f t="shared" si="0"/>
        <v>9747439</v>
      </c>
      <c r="J9" s="66"/>
      <c r="K9" s="66"/>
      <c r="L9" s="66"/>
      <c r="M9" s="65"/>
      <c r="N9" s="68"/>
      <c r="O9" s="68">
        <f t="shared" si="1"/>
        <v>1</v>
      </c>
      <c r="P9" s="60">
        <f t="shared" si="2"/>
        <v>43831</v>
      </c>
      <c r="Q9" s="59"/>
      <c r="R9" s="59"/>
      <c r="S9" s="59"/>
      <c r="T9" s="61">
        <f t="shared" si="4"/>
        <v>1.104495492610931</v>
      </c>
      <c r="U9" s="62">
        <f t="shared" si="3"/>
        <v>9747439</v>
      </c>
      <c r="V9" s="59"/>
      <c r="W9" s="59"/>
      <c r="X9" s="59"/>
      <c r="Y9" s="59"/>
      <c r="Z9" s="59"/>
      <c r="AA9" s="59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spans="1:43" ht="12.75">
      <c r="A10" s="42">
        <v>2</v>
      </c>
      <c r="B10" s="42">
        <v>2020</v>
      </c>
      <c r="C10" s="44">
        <v>11322937.33</v>
      </c>
      <c r="D10" s="44">
        <v>226458.7466</v>
      </c>
      <c r="E10" s="44">
        <v>11096478.5834</v>
      </c>
      <c r="F10" s="45">
        <v>0.16937883089225925</v>
      </c>
      <c r="G10" s="42">
        <v>3</v>
      </c>
      <c r="H10" s="42">
        <v>2020</v>
      </c>
      <c r="I10" s="66">
        <f t="shared" si="0"/>
        <v>9682864.98</v>
      </c>
      <c r="J10" s="66"/>
      <c r="K10" s="66"/>
      <c r="L10" s="66"/>
      <c r="M10" s="65"/>
      <c r="N10" s="68"/>
      <c r="O10" s="68">
        <f t="shared" si="1"/>
        <v>1</v>
      </c>
      <c r="P10" s="60">
        <f t="shared" si="2"/>
        <v>43862</v>
      </c>
      <c r="Q10" s="59"/>
      <c r="R10" s="59"/>
      <c r="S10" s="59"/>
      <c r="T10" s="61">
        <f t="shared" si="4"/>
        <v>1.1693788308922592</v>
      </c>
      <c r="U10" s="62">
        <f t="shared" si="3"/>
        <v>9682864.98</v>
      </c>
      <c r="V10" s="59"/>
      <c r="W10" s="59"/>
      <c r="X10" s="59"/>
      <c r="Y10" s="59"/>
      <c r="Z10" s="59"/>
      <c r="AA10" s="59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3" ht="12.75">
      <c r="A11" s="42">
        <v>3</v>
      </c>
      <c r="B11" s="42">
        <v>2020</v>
      </c>
      <c r="C11" s="44">
        <v>11134758.51</v>
      </c>
      <c r="D11" s="44">
        <v>222695.1702</v>
      </c>
      <c r="E11" s="44">
        <v>10912063.3398</v>
      </c>
      <c r="F11" s="45">
        <v>0.04786905155868548</v>
      </c>
      <c r="G11" s="42">
        <v>4</v>
      </c>
      <c r="H11" s="42">
        <v>2020</v>
      </c>
      <c r="I11" s="66">
        <f t="shared" si="0"/>
        <v>10626097.31</v>
      </c>
      <c r="J11" s="66"/>
      <c r="K11" s="66"/>
      <c r="L11" s="66"/>
      <c r="M11" s="65"/>
      <c r="N11" s="69"/>
      <c r="O11" s="68">
        <f t="shared" si="1"/>
        <v>1</v>
      </c>
      <c r="P11" s="60">
        <f t="shared" si="2"/>
        <v>43891</v>
      </c>
      <c r="Q11" s="59"/>
      <c r="R11" s="59"/>
      <c r="S11" s="59"/>
      <c r="T11" s="61">
        <f t="shared" si="4"/>
        <v>1.0478690515586855</v>
      </c>
      <c r="U11" s="62">
        <f t="shared" si="3"/>
        <v>10626097.31</v>
      </c>
      <c r="V11" s="59"/>
      <c r="W11" s="59"/>
      <c r="X11" s="59"/>
      <c r="Y11" s="59"/>
      <c r="Z11" s="59"/>
      <c r="AA11" s="59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</row>
    <row r="12" spans="1:43" ht="12.75">
      <c r="A12" s="84">
        <v>4</v>
      </c>
      <c r="B12" s="42">
        <v>2020</v>
      </c>
      <c r="C12" s="26">
        <v>4183101.53</v>
      </c>
      <c r="D12" s="26">
        <v>83662.0306</v>
      </c>
      <c r="E12" s="26">
        <v>4099439.4993999996</v>
      </c>
      <c r="F12" s="27">
        <v>-0.6187160312303204</v>
      </c>
      <c r="G12" s="84">
        <v>5</v>
      </c>
      <c r="H12" s="42">
        <v>2020</v>
      </c>
      <c r="I12" s="66">
        <f t="shared" si="0"/>
        <v>10971092.08</v>
      </c>
      <c r="J12" s="66"/>
      <c r="K12" s="66"/>
      <c r="L12" s="66"/>
      <c r="M12" s="65"/>
      <c r="N12" s="68"/>
      <c r="O12" s="68">
        <f t="shared" si="1"/>
        <v>1</v>
      </c>
      <c r="P12" s="60">
        <f t="shared" si="2"/>
        <v>43922</v>
      </c>
      <c r="Q12" s="59"/>
      <c r="R12" s="59"/>
      <c r="S12" s="59"/>
      <c r="T12" s="61">
        <f t="shared" si="4"/>
        <v>0.3812839687696796</v>
      </c>
      <c r="U12" s="62">
        <f t="shared" si="3"/>
        <v>10971092.08</v>
      </c>
      <c r="V12" s="59"/>
      <c r="W12" s="59"/>
      <c r="X12" s="59"/>
      <c r="Y12" s="59"/>
      <c r="Z12" s="59"/>
      <c r="AA12" s="59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</row>
    <row r="13" spans="1:43" ht="12.75">
      <c r="A13" s="42">
        <v>5</v>
      </c>
      <c r="B13" s="42">
        <v>2020</v>
      </c>
      <c r="C13" s="44">
        <v>1327355.11</v>
      </c>
      <c r="D13" s="44">
        <v>26547.1022</v>
      </c>
      <c r="E13" s="44">
        <v>1300808.0078</v>
      </c>
      <c r="F13" s="45">
        <v>-0.8548950229193213</v>
      </c>
      <c r="G13" s="42">
        <v>6</v>
      </c>
      <c r="H13" s="42">
        <v>2020</v>
      </c>
      <c r="I13" s="66">
        <f t="shared" si="0"/>
        <v>9147550.529999997</v>
      </c>
      <c r="J13" s="66"/>
      <c r="K13" s="66"/>
      <c r="L13" s="66"/>
      <c r="M13" s="65"/>
      <c r="N13" s="68"/>
      <c r="O13" s="68">
        <f t="shared" si="1"/>
        <v>1</v>
      </c>
      <c r="P13" s="60">
        <f t="shared" si="2"/>
        <v>43952</v>
      </c>
      <c r="Q13" s="59"/>
      <c r="R13" s="59"/>
      <c r="S13" s="59"/>
      <c r="T13" s="61">
        <f t="shared" si="4"/>
        <v>0.1451049770806787</v>
      </c>
      <c r="U13" s="62">
        <f t="shared" si="3"/>
        <v>9147550.529999997</v>
      </c>
      <c r="V13" s="59"/>
      <c r="W13" s="59"/>
      <c r="X13" s="59"/>
      <c r="Y13" s="59"/>
      <c r="Z13" s="59"/>
      <c r="AA13" s="59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</row>
    <row r="14" spans="1:43" ht="12.75">
      <c r="A14" s="93">
        <v>6</v>
      </c>
      <c r="B14" s="29">
        <v>2020</v>
      </c>
      <c r="C14" s="94">
        <v>769247.38</v>
      </c>
      <c r="D14" s="94">
        <v>15384.9476</v>
      </c>
      <c r="E14" s="94">
        <v>753862.4324</v>
      </c>
      <c r="F14" s="27">
        <v>-0.8929996444279487</v>
      </c>
      <c r="G14" s="93">
        <v>7</v>
      </c>
      <c r="H14" s="29">
        <v>2020</v>
      </c>
      <c r="I14" s="66">
        <f t="shared" si="0"/>
        <v>7189203.960000004</v>
      </c>
      <c r="J14" s="66"/>
      <c r="K14" s="66"/>
      <c r="L14" s="66"/>
      <c r="M14" s="65"/>
      <c r="N14" s="68"/>
      <c r="O14" s="68">
        <f t="shared" si="1"/>
        <v>1</v>
      </c>
      <c r="P14" s="60">
        <f t="shared" si="2"/>
        <v>43983</v>
      </c>
      <c r="Q14" s="59"/>
      <c r="R14" s="59"/>
      <c r="S14" s="63">
        <f>(F6+F7+F8+F9+F10+F11+F12+F13+F14+F15+F16+F17)/O18</f>
        <v>-0.3332375989929344</v>
      </c>
      <c r="T14" s="61">
        <f t="shared" si="4"/>
        <v>0.10700035557205134</v>
      </c>
      <c r="U14" s="62">
        <f t="shared" si="3"/>
        <v>7189203.960000004</v>
      </c>
      <c r="V14" s="59"/>
      <c r="W14" s="59"/>
      <c r="X14" s="59"/>
      <c r="Y14" s="59"/>
      <c r="Z14" s="59"/>
      <c r="AA14" s="59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43" ht="12.75">
      <c r="A15" s="42">
        <v>7</v>
      </c>
      <c r="B15" s="42">
        <v>2020</v>
      </c>
      <c r="C15" s="44">
        <v>1734025.51</v>
      </c>
      <c r="D15" s="44">
        <v>34680.510200000004</v>
      </c>
      <c r="E15" s="44">
        <v>1699344.9998</v>
      </c>
      <c r="F15" s="45">
        <v>-0.7161305766975095</v>
      </c>
      <c r="G15" s="42">
        <v>8</v>
      </c>
      <c r="H15" s="42">
        <v>2020</v>
      </c>
      <c r="I15" s="66">
        <f t="shared" si="0"/>
        <v>6108532.190000001</v>
      </c>
      <c r="J15" s="66"/>
      <c r="K15" s="66"/>
      <c r="L15" s="66"/>
      <c r="M15" s="65"/>
      <c r="N15" s="68"/>
      <c r="O15" s="68">
        <f t="shared" si="1"/>
        <v>1</v>
      </c>
      <c r="P15" s="60">
        <f t="shared" si="2"/>
        <v>44013</v>
      </c>
      <c r="Q15" s="59"/>
      <c r="R15" s="59"/>
      <c r="S15" s="59"/>
      <c r="T15" s="61">
        <f t="shared" si="4"/>
        <v>0.28386942330249054</v>
      </c>
      <c r="U15" s="62">
        <f t="shared" si="3"/>
        <v>6108532.190000001</v>
      </c>
      <c r="V15" s="59"/>
      <c r="W15" s="59"/>
      <c r="X15" s="59"/>
      <c r="Y15" s="59"/>
      <c r="Z15" s="59"/>
      <c r="AA15" s="59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</row>
    <row r="16" spans="1:43" ht="12.75">
      <c r="A16" s="42">
        <v>8</v>
      </c>
      <c r="B16" s="42">
        <v>2020</v>
      </c>
      <c r="C16" s="44">
        <v>1579906.55</v>
      </c>
      <c r="D16" s="44">
        <v>31598.131</v>
      </c>
      <c r="E16" s="44">
        <v>1548308.419</v>
      </c>
      <c r="F16" s="45">
        <v>-0.7540215365886286</v>
      </c>
      <c r="G16" s="42">
        <v>9</v>
      </c>
      <c r="H16" s="42">
        <v>2020</v>
      </c>
      <c r="I16" s="66">
        <f t="shared" si="0"/>
        <v>6422946.659999999</v>
      </c>
      <c r="J16" s="66"/>
      <c r="K16" s="66"/>
      <c r="L16" s="66"/>
      <c r="M16" s="65"/>
      <c r="N16" s="68"/>
      <c r="O16" s="68">
        <f t="shared" si="1"/>
        <v>1</v>
      </c>
      <c r="P16" s="60">
        <f t="shared" si="2"/>
        <v>44044</v>
      </c>
      <c r="Q16" s="59"/>
      <c r="R16" s="59"/>
      <c r="S16" s="59"/>
      <c r="T16" s="61">
        <f t="shared" si="4"/>
        <v>0.24597846341137142</v>
      </c>
      <c r="U16" s="62">
        <f t="shared" si="3"/>
        <v>6422946.659999999</v>
      </c>
      <c r="V16" s="59"/>
      <c r="W16" s="59"/>
      <c r="X16" s="59"/>
      <c r="Y16" s="59"/>
      <c r="Z16" s="59"/>
      <c r="AA16" s="59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</row>
    <row r="17" spans="1:43" ht="12.75">
      <c r="A17" s="54">
        <v>9</v>
      </c>
      <c r="B17" s="42">
        <v>2020</v>
      </c>
      <c r="C17" s="55">
        <v>2338268.12</v>
      </c>
      <c r="D17" s="55">
        <v>46765.362400000005</v>
      </c>
      <c r="E17" s="55">
        <v>2291502.7576</v>
      </c>
      <c r="F17" s="45">
        <v>-0.5671148442111114</v>
      </c>
      <c r="G17" s="54">
        <v>10</v>
      </c>
      <c r="H17" s="42">
        <v>2020</v>
      </c>
      <c r="I17" s="66">
        <f t="shared" si="0"/>
        <v>5401589.98</v>
      </c>
      <c r="J17" s="66"/>
      <c r="K17" s="66"/>
      <c r="L17" s="66"/>
      <c r="M17" s="65"/>
      <c r="N17" s="68"/>
      <c r="O17" s="68">
        <f t="shared" si="1"/>
        <v>1</v>
      </c>
      <c r="P17" s="60">
        <f t="shared" si="2"/>
        <v>44075</v>
      </c>
      <c r="Q17" s="59"/>
      <c r="R17" s="59"/>
      <c r="S17" s="59"/>
      <c r="T17" s="61">
        <f t="shared" si="4"/>
        <v>0.43288515578888864</v>
      </c>
      <c r="U17" s="62">
        <f t="shared" si="3"/>
        <v>5401589.98</v>
      </c>
      <c r="V17" s="59"/>
      <c r="W17" s="59"/>
      <c r="X17" s="59"/>
      <c r="Y17" s="59"/>
      <c r="Z17" s="59"/>
      <c r="AA17" s="59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</row>
    <row r="18" spans="1:43" ht="12.75">
      <c r="A18" s="4"/>
      <c r="B18" s="4"/>
      <c r="C18" s="5">
        <f>SUM(C6:C17)</f>
        <v>63249280.93999999</v>
      </c>
      <c r="D18" s="5">
        <f>SUM(D6:D17)</f>
        <v>1264985.6188</v>
      </c>
      <c r="E18" s="5">
        <f>SUM(E6:E17)</f>
        <v>61984295.3212</v>
      </c>
      <c r="F18" s="6">
        <f>(C18/U18)-1</f>
        <v>-0.31863324485991573</v>
      </c>
      <c r="G18" s="4"/>
      <c r="H18" s="4"/>
      <c r="I18" s="5">
        <f>SUM(I6:I17)</f>
        <v>92827072.15</v>
      </c>
      <c r="J18" s="66"/>
      <c r="K18" s="66"/>
      <c r="L18" s="66"/>
      <c r="M18" s="65"/>
      <c r="N18" s="68"/>
      <c r="O18" s="70">
        <f>SUM(O6:O17)</f>
        <v>12</v>
      </c>
      <c r="P18" s="59"/>
      <c r="Q18" s="59"/>
      <c r="R18" s="59"/>
      <c r="S18" s="59"/>
      <c r="T18" s="86"/>
      <c r="U18" s="62">
        <f>SUM(U6:U17)</f>
        <v>92827072.15</v>
      </c>
      <c r="V18" s="59"/>
      <c r="W18" s="59"/>
      <c r="X18" s="59"/>
      <c r="Y18" s="59"/>
      <c r="Z18" s="59"/>
      <c r="AA18" s="59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</row>
    <row r="19" spans="3:43" ht="12.75">
      <c r="C19" s="23"/>
      <c r="I19" s="65"/>
      <c r="J19" s="65"/>
      <c r="K19" s="65"/>
      <c r="L19" s="65"/>
      <c r="M19" s="65"/>
      <c r="N19" s="68"/>
      <c r="O19" s="68"/>
      <c r="P19" s="59"/>
      <c r="Q19" s="59"/>
      <c r="R19" s="59"/>
      <c r="S19" s="59"/>
      <c r="T19" s="59"/>
      <c r="V19" s="59"/>
      <c r="W19" s="59"/>
      <c r="X19" s="59"/>
      <c r="Y19" s="59"/>
      <c r="Z19" s="59"/>
      <c r="AA19" s="59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</row>
    <row r="20" spans="9:43" ht="12.75">
      <c r="I20" s="65"/>
      <c r="J20" s="65"/>
      <c r="K20" s="65"/>
      <c r="L20" s="65"/>
      <c r="M20" s="65"/>
      <c r="N20" s="68"/>
      <c r="O20" s="68"/>
      <c r="P20" s="59"/>
      <c r="Q20" s="59"/>
      <c r="R20" s="59"/>
      <c r="S20" s="59"/>
      <c r="T20" s="59"/>
      <c r="V20" s="59"/>
      <c r="W20" s="59"/>
      <c r="X20" s="59"/>
      <c r="Y20" s="59"/>
      <c r="Z20" s="59"/>
      <c r="AA20" s="59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</row>
    <row r="21" spans="9:43" ht="12.75">
      <c r="I21" s="65"/>
      <c r="J21" s="65"/>
      <c r="K21" s="65"/>
      <c r="L21" s="65"/>
      <c r="M21" s="65"/>
      <c r="N21" s="68"/>
      <c r="O21" s="68"/>
      <c r="P21" s="59"/>
      <c r="Q21" s="59"/>
      <c r="R21" s="59"/>
      <c r="S21" s="59"/>
      <c r="T21" s="59"/>
      <c r="V21" s="59"/>
      <c r="W21" s="59"/>
      <c r="X21" s="59"/>
      <c r="Y21" s="59"/>
      <c r="Z21" s="59"/>
      <c r="AA21" s="59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</row>
    <row r="22" spans="9:43" ht="12.75">
      <c r="I22" s="65"/>
      <c r="J22" s="65"/>
      <c r="K22" s="65"/>
      <c r="L22" s="65"/>
      <c r="M22" s="65"/>
      <c r="N22" s="68"/>
      <c r="O22" s="68"/>
      <c r="P22" s="59"/>
      <c r="Q22" s="59"/>
      <c r="R22" s="59"/>
      <c r="S22" s="59"/>
      <c r="T22" s="59"/>
      <c r="V22" s="59"/>
      <c r="W22" s="59"/>
      <c r="X22" s="59"/>
      <c r="Y22" s="59"/>
      <c r="Z22" s="59"/>
      <c r="AA22" s="59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</row>
    <row r="23" spans="9:43" ht="12.75">
      <c r="I23" s="65"/>
      <c r="J23" s="65"/>
      <c r="K23" s="65"/>
      <c r="L23" s="65"/>
      <c r="M23" s="65"/>
      <c r="N23" s="68"/>
      <c r="O23" s="68"/>
      <c r="P23" s="59"/>
      <c r="Q23" s="59"/>
      <c r="R23" s="59"/>
      <c r="S23" s="59"/>
      <c r="T23" s="59"/>
      <c r="V23" s="59"/>
      <c r="W23" s="59"/>
      <c r="X23" s="59"/>
      <c r="Y23" s="59"/>
      <c r="Z23" s="59"/>
      <c r="AA23" s="59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</row>
    <row r="24" spans="9:43" ht="12.75">
      <c r="I24" s="65"/>
      <c r="J24" s="65"/>
      <c r="K24" s="65"/>
      <c r="L24" s="65"/>
      <c r="M24" s="65"/>
      <c r="N24" s="65"/>
      <c r="O24" s="65"/>
      <c r="P24" s="65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</row>
    <row r="25" spans="9:43" ht="12.75">
      <c r="I25" s="65"/>
      <c r="J25" s="65"/>
      <c r="K25" s="65"/>
      <c r="L25" s="65"/>
      <c r="M25" s="65"/>
      <c r="N25" s="65"/>
      <c r="O25" s="65"/>
      <c r="P25" s="65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</row>
    <row r="26" spans="9:43" ht="12.75">
      <c r="I26" s="65"/>
      <c r="J26" s="65"/>
      <c r="K26" s="65"/>
      <c r="L26" s="65"/>
      <c r="M26" s="65"/>
      <c r="N26" s="65"/>
      <c r="O26" s="65"/>
      <c r="P26" s="65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</row>
    <row r="27" spans="9:43" ht="12.75">
      <c r="I27" s="65"/>
      <c r="J27" s="65"/>
      <c r="K27" s="65"/>
      <c r="L27" s="65"/>
      <c r="M27" s="65"/>
      <c r="N27" s="65"/>
      <c r="O27" s="65"/>
      <c r="P27" s="65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</row>
    <row r="28" spans="9:43" ht="12.75">
      <c r="I28" s="65"/>
      <c r="J28" s="65"/>
      <c r="K28" s="65"/>
      <c r="L28" s="65"/>
      <c r="M28" s="65"/>
      <c r="N28" s="65"/>
      <c r="O28" s="65"/>
      <c r="P28" s="65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</row>
    <row r="29" spans="9:43" ht="12.75">
      <c r="I29" s="65"/>
      <c r="J29" s="65"/>
      <c r="K29" s="65"/>
      <c r="L29" s="65"/>
      <c r="M29" s="65"/>
      <c r="N29" s="65"/>
      <c r="O29" s="65"/>
      <c r="P29" s="6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</row>
    <row r="30" spans="9:43" ht="12.75">
      <c r="I30" s="65"/>
      <c r="J30" s="65"/>
      <c r="K30" s="65"/>
      <c r="L30" s="65"/>
      <c r="M30" s="65"/>
      <c r="N30" s="65"/>
      <c r="O30" s="65"/>
      <c r="P30" s="65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</row>
    <row r="31" spans="9:43" ht="12.75">
      <c r="I31" s="65"/>
      <c r="J31" s="65"/>
      <c r="K31" s="65"/>
      <c r="L31" s="65"/>
      <c r="M31" s="65"/>
      <c r="N31" s="65"/>
      <c r="O31" s="65"/>
      <c r="P31" s="65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</row>
    <row r="32" spans="9:43" ht="12.75">
      <c r="I32" s="65"/>
      <c r="J32" s="65"/>
      <c r="K32" s="65"/>
      <c r="L32" s="65"/>
      <c r="M32" s="65"/>
      <c r="N32" s="65"/>
      <c r="O32" s="65"/>
      <c r="P32" s="65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</row>
    <row r="33" spans="9:43" ht="12.75">
      <c r="I33" s="65"/>
      <c r="J33" s="65"/>
      <c r="K33" s="65"/>
      <c r="L33" s="65"/>
      <c r="M33" s="65"/>
      <c r="N33" s="65"/>
      <c r="O33" s="65"/>
      <c r="P33" s="65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</row>
    <row r="34" spans="9:43" ht="12.75">
      <c r="I34" s="65"/>
      <c r="J34" s="65"/>
      <c r="K34" s="65"/>
      <c r="L34" s="65"/>
      <c r="M34" s="65"/>
      <c r="N34" s="65"/>
      <c r="O34" s="65"/>
      <c r="P34" s="65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</row>
    <row r="35" spans="9:43" ht="12.75"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</row>
    <row r="36" spans="9:43" ht="12.75"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</row>
    <row r="37" spans="9:43" ht="12.75"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</row>
    <row r="38" spans="9:43" ht="12.75"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</row>
    <row r="39" spans="9:43" ht="12.75"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</row>
    <row r="40" spans="9:43" ht="12.75"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</row>
    <row r="41" spans="9:43" ht="12.75"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</row>
    <row r="48" ht="12.75">
      <c r="C48" s="41"/>
    </row>
    <row r="51" spans="1:12" ht="12.75">
      <c r="A51" s="3"/>
      <c r="B51" s="3"/>
      <c r="C51" s="3" t="s">
        <v>0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 t="s">
        <v>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 t="s">
        <v>2</v>
      </c>
      <c r="B53" s="3"/>
      <c r="C53" s="3"/>
      <c r="D53" s="3" t="str">
        <f>+B56</f>
        <v>2019-2020</v>
      </c>
      <c r="E53" s="3" t="s">
        <v>64</v>
      </c>
      <c r="F53" s="3"/>
      <c r="G53" s="3"/>
      <c r="H53" s="3"/>
      <c r="I53" s="3"/>
      <c r="J53" s="3"/>
      <c r="K53" s="3"/>
      <c r="L53" s="3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63</v>
      </c>
      <c r="B55" t="s">
        <v>15</v>
      </c>
      <c r="G55" t="s">
        <v>63</v>
      </c>
      <c r="H55" t="s">
        <v>15</v>
      </c>
    </row>
    <row r="56" spans="1:15" ht="12.75">
      <c r="A56" s="25">
        <v>1</v>
      </c>
      <c r="B56" t="str">
        <f>+D3&amp;"-"&amp;(D3+1)</f>
        <v>2019-2020</v>
      </c>
      <c r="C56" s="26">
        <f>+C6+C7+C8</f>
        <v>18093678.46</v>
      </c>
      <c r="D56" s="26">
        <f>+D6+D7+D8</f>
        <v>361873.5692</v>
      </c>
      <c r="E56" s="26">
        <f>+E6+E7+E8</f>
        <v>17731804.8908</v>
      </c>
      <c r="F56" s="27">
        <f>(F6+F7+F8)/O56</f>
        <v>0.02776103103258361</v>
      </c>
      <c r="G56" s="25">
        <v>1</v>
      </c>
      <c r="H56" t="str">
        <f>+$B$56</f>
        <v>2019-2020</v>
      </c>
      <c r="I56" s="26">
        <f>+I6+I7+I8</f>
        <v>17529755.459999997</v>
      </c>
      <c r="J56" s="26">
        <f>+J6+J7+J8</f>
        <v>0</v>
      </c>
      <c r="K56" s="26">
        <f>+K6+K7+K8</f>
        <v>0</v>
      </c>
      <c r="L56" s="26">
        <f>+L6+L7+L8</f>
        <v>0</v>
      </c>
      <c r="O56" s="28">
        <f>+O6+O7+O8</f>
        <v>3</v>
      </c>
    </row>
    <row r="57" spans="1:15" ht="12.75">
      <c r="A57" s="25">
        <v>2</v>
      </c>
      <c r="B57" t="str">
        <f>+$B$56</f>
        <v>2019-2020</v>
      </c>
      <c r="C57" s="26">
        <f>+C9+C10+C11</f>
        <v>33223698.28</v>
      </c>
      <c r="D57" s="26">
        <f>+D9+D10+D11</f>
        <v>664473.9656</v>
      </c>
      <c r="E57" s="26">
        <f>+E9+E10+E11</f>
        <v>32559224.3144</v>
      </c>
      <c r="F57" s="27">
        <f>(F7+F8+F9)/O57</f>
        <v>0.06904543487289565</v>
      </c>
      <c r="G57" s="25">
        <v>2</v>
      </c>
      <c r="H57" t="str">
        <f>+$B$56</f>
        <v>2019-2020</v>
      </c>
      <c r="I57" s="26">
        <f>+I9+I10+I11</f>
        <v>30056401.29</v>
      </c>
      <c r="J57" s="26">
        <v>0</v>
      </c>
      <c r="K57" s="26">
        <f>+K9+K10+K11</f>
        <v>0</v>
      </c>
      <c r="L57" s="26">
        <f>+L9+L10+L11</f>
        <v>0</v>
      </c>
      <c r="O57" s="28">
        <f>+O9+O10+O11</f>
        <v>3</v>
      </c>
    </row>
    <row r="58" spans="1:15" ht="12.75">
      <c r="A58" s="25">
        <v>3</v>
      </c>
      <c r="B58" t="str">
        <f>+$B$56</f>
        <v>2019-2020</v>
      </c>
      <c r="C58" s="26">
        <f>+C12+C13+C14</f>
        <v>6279704.02</v>
      </c>
      <c r="D58" s="26">
        <f>+D12+D13+D14</f>
        <v>125594.08039999999</v>
      </c>
      <c r="E58" s="26">
        <f>+E12+E13+E14</f>
        <v>6154109.9396</v>
      </c>
      <c r="F58" s="27">
        <f>(F8+F9+F10)/O58</f>
        <v>0.11498812842253921</v>
      </c>
      <c r="G58" s="25">
        <v>3</v>
      </c>
      <c r="H58" t="str">
        <f>+$B$56</f>
        <v>2019-2020</v>
      </c>
      <c r="I58" s="26">
        <f>+I12+I13+I14</f>
        <v>27307846.570000004</v>
      </c>
      <c r="J58" s="26">
        <f>+J12+J13+J14</f>
        <v>0</v>
      </c>
      <c r="K58" s="26">
        <f>+K12+K13+K14</f>
        <v>0</v>
      </c>
      <c r="L58" s="26">
        <f>+L12+L13+L14</f>
        <v>0</v>
      </c>
      <c r="O58" s="28">
        <f>+O12+O13+O14</f>
        <v>3</v>
      </c>
    </row>
    <row r="59" spans="1:15" ht="12.75">
      <c r="A59" s="25">
        <v>4</v>
      </c>
      <c r="B59" t="str">
        <f>+$B$56</f>
        <v>2019-2020</v>
      </c>
      <c r="C59" s="26">
        <f>+C15+C16+C17</f>
        <v>5652200.18</v>
      </c>
      <c r="D59" s="26">
        <f>+D15+D16+D17</f>
        <v>113044.00360000003</v>
      </c>
      <c r="E59" s="26">
        <f>+E15+E16+E17</f>
        <v>5539156.1764</v>
      </c>
      <c r="F59" s="27">
        <f>(F9+F10+F11)/O59</f>
        <v>0.10724779168729189</v>
      </c>
      <c r="G59" s="25">
        <v>4</v>
      </c>
      <c r="H59" t="str">
        <f>+$B$56</f>
        <v>2019-2020</v>
      </c>
      <c r="I59" s="26">
        <f>+I15+I16+I17</f>
        <v>17933068.830000002</v>
      </c>
      <c r="J59" s="26">
        <v>0</v>
      </c>
      <c r="K59" s="26">
        <f>+K15+K16+K17</f>
        <v>0</v>
      </c>
      <c r="L59" s="26">
        <f>+L15+L16+L17</f>
        <v>0</v>
      </c>
      <c r="O59" s="28">
        <f>+O15+O16+O17</f>
        <v>3</v>
      </c>
    </row>
    <row r="60" spans="1:12" ht="12.75">
      <c r="A60" s="4"/>
      <c r="B60" s="4"/>
      <c r="C60" s="5">
        <f>SUM(C48:C59)</f>
        <v>63249280.940000005</v>
      </c>
      <c r="D60" s="5">
        <f>SUM(D48:D59)</f>
        <v>1264985.6188</v>
      </c>
      <c r="E60" s="5">
        <f>SUM(E48:E59)</f>
        <v>61984295.3212</v>
      </c>
      <c r="F60" s="6">
        <f>+F18</f>
        <v>-0.31863324485991573</v>
      </c>
      <c r="G60" s="4"/>
      <c r="H60" s="4"/>
      <c r="I60" s="5">
        <f>SUM(I48:I59)</f>
        <v>92827072.15</v>
      </c>
      <c r="J60" s="5">
        <f>SUM(J48:J59)</f>
        <v>0</v>
      </c>
      <c r="K60" s="5">
        <f>SUM(K48:K59)</f>
        <v>0</v>
      </c>
      <c r="L60" s="5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4"/>
      <c r="B68" s="4"/>
      <c r="C68" s="5"/>
      <c r="D68" s="5"/>
      <c r="E68" s="5"/>
      <c r="F68" s="6"/>
      <c r="G68" s="4"/>
      <c r="H68" s="4"/>
      <c r="I68" s="5"/>
      <c r="J68" s="5"/>
      <c r="K68" s="5"/>
      <c r="L68" s="5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94"/>
  <sheetViews>
    <sheetView zoomScalePageLayoutView="0" workbookViewId="0" topLeftCell="A1">
      <selection activeCell="A38" sqref="A38:J38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21.00390625" style="0" customWidth="1"/>
    <col min="11" max="11" width="14.140625" style="43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</cols>
  <sheetData>
    <row r="1" spans="1:44" ht="12.75">
      <c r="A1" s="11"/>
      <c r="B1" s="11"/>
      <c r="C1" s="11" t="s">
        <v>24</v>
      </c>
      <c r="D1" s="11"/>
      <c r="E1" s="11"/>
      <c r="F1" s="11"/>
      <c r="G1" s="11"/>
      <c r="H1" s="11"/>
      <c r="I1" s="11"/>
      <c r="J1" s="11"/>
      <c r="K1" s="11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12.75">
      <c r="A2" s="11"/>
      <c r="B2" s="11"/>
      <c r="C2" s="11" t="s">
        <v>25</v>
      </c>
      <c r="D2" s="11"/>
      <c r="E2" s="11"/>
      <c r="F2" s="11"/>
      <c r="G2" s="11"/>
      <c r="H2" s="11"/>
      <c r="I2" s="11"/>
      <c r="J2" s="11"/>
      <c r="K2" s="11"/>
      <c r="L2" s="59"/>
      <c r="M2" s="59"/>
      <c r="N2" s="59">
        <f>+D3-1</f>
        <v>2018</v>
      </c>
      <c r="O2" s="59" t="s">
        <v>3</v>
      </c>
      <c r="P2" s="59">
        <f>+D3</f>
        <v>2019</v>
      </c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12.75">
      <c r="A3" s="11"/>
      <c r="B3" s="11"/>
      <c r="C3" s="11" t="s">
        <v>26</v>
      </c>
      <c r="D3" s="11">
        <f>+B6</f>
        <v>2019</v>
      </c>
      <c r="E3" s="11" t="s">
        <v>3</v>
      </c>
      <c r="F3" s="11">
        <f>+D3+1</f>
        <v>2020</v>
      </c>
      <c r="G3" s="11"/>
      <c r="H3" s="11"/>
      <c r="I3" s="11"/>
      <c r="J3" s="11"/>
      <c r="K3" s="11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</row>
    <row r="4" spans="1:44" ht="12.75">
      <c r="A4" s="11"/>
      <c r="B4" s="11" t="s">
        <v>4</v>
      </c>
      <c r="C4" s="11" t="s">
        <v>19</v>
      </c>
      <c r="D4" s="11" t="s">
        <v>27</v>
      </c>
      <c r="E4" s="11" t="s">
        <v>28</v>
      </c>
      <c r="F4" s="11" t="s">
        <v>21</v>
      </c>
      <c r="G4" s="11" t="s">
        <v>22</v>
      </c>
      <c r="H4" s="11"/>
      <c r="I4" s="11" t="s">
        <v>77</v>
      </c>
      <c r="J4" s="80" t="s">
        <v>86</v>
      </c>
      <c r="K4" s="80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4" ht="12.75">
      <c r="A5" s="11"/>
      <c r="B5" s="11" t="s">
        <v>14</v>
      </c>
      <c r="C5" s="11"/>
      <c r="D5" s="11"/>
      <c r="E5" s="11"/>
      <c r="F5" s="11"/>
      <c r="G5" s="11" t="s">
        <v>14</v>
      </c>
      <c r="H5" s="11"/>
      <c r="I5" s="11"/>
      <c r="J5" s="11"/>
      <c r="K5" s="11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</row>
    <row r="6" spans="1:44" ht="12.75">
      <c r="A6" s="42">
        <v>10</v>
      </c>
      <c r="B6" s="42">
        <v>2019</v>
      </c>
      <c r="C6" s="44">
        <v>1748613.0133333341</v>
      </c>
      <c r="D6" s="44">
        <v>52458.39040000002</v>
      </c>
      <c r="E6" s="44">
        <v>1696154.6229333342</v>
      </c>
      <c r="F6" s="45">
        <v>-0.07734752469615092</v>
      </c>
      <c r="G6" s="42">
        <v>11</v>
      </c>
      <c r="H6" s="42">
        <v>2019</v>
      </c>
      <c r="I6" s="44">
        <v>1696154.622933334</v>
      </c>
      <c r="J6" s="23">
        <f aca="true" t="shared" si="0" ref="J6:J17">+U6</f>
        <v>1895202.213333334</v>
      </c>
      <c r="K6" s="79"/>
      <c r="L6" s="67">
        <f>IF(A6&gt;0,1,"")</f>
        <v>1</v>
      </c>
      <c r="M6" s="60">
        <f>DATE(B6,A6,1)</f>
        <v>43739</v>
      </c>
      <c r="N6" s="60">
        <f aca="true" t="shared" si="1" ref="N6:N17">IF(A6&gt;0,M6," ")</f>
        <v>43739</v>
      </c>
      <c r="O6" s="59"/>
      <c r="P6" s="59"/>
      <c r="Q6" s="59"/>
      <c r="R6" s="59"/>
      <c r="S6" s="59"/>
      <c r="T6" s="61">
        <f>IF(L6=1,(F6+1),0)</f>
        <v>0.9226524753038491</v>
      </c>
      <c r="U6" s="62">
        <f>IF(L6=1,C6/T6,0)</f>
        <v>1895202.213333334</v>
      </c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</row>
    <row r="7" spans="1:44" ht="12.75">
      <c r="A7" s="42">
        <v>11</v>
      </c>
      <c r="B7" s="42">
        <v>2019</v>
      </c>
      <c r="C7" s="44">
        <v>2278824.6933333343</v>
      </c>
      <c r="D7" s="44">
        <v>68364.74080000003</v>
      </c>
      <c r="E7" s="44">
        <v>2210459.9525333345</v>
      </c>
      <c r="F7" s="45">
        <v>0.060583280011925256</v>
      </c>
      <c r="G7" s="42">
        <v>12</v>
      </c>
      <c r="H7" s="42">
        <v>2019</v>
      </c>
      <c r="I7" s="44">
        <v>2210459.952533334</v>
      </c>
      <c r="J7" s="23">
        <f t="shared" si="0"/>
        <v>2148652.29</v>
      </c>
      <c r="K7" s="79"/>
      <c r="L7" s="67">
        <f>IF(A7&gt;0,1,0)</f>
        <v>1</v>
      </c>
      <c r="M7" s="60">
        <f aca="true" t="shared" si="2" ref="M7:M17">DATE(B7,A7,1)</f>
        <v>43770</v>
      </c>
      <c r="N7" s="60">
        <f t="shared" si="1"/>
        <v>43770</v>
      </c>
      <c r="O7" s="59"/>
      <c r="P7" s="59"/>
      <c r="Q7" s="59"/>
      <c r="R7" s="59"/>
      <c r="S7" s="59"/>
      <c r="T7" s="61">
        <f aca="true" t="shared" si="3" ref="T7:T16">IF(L7=1,(F7+1),0)</f>
        <v>1.0605832800119253</v>
      </c>
      <c r="U7" s="62">
        <f aca="true" t="shared" si="4" ref="U7:U17">IF(L7=1,C7/T7,0)</f>
        <v>2148652.29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</row>
    <row r="8" spans="1:44" ht="12.75">
      <c r="A8" s="42">
        <v>12</v>
      </c>
      <c r="B8" s="42">
        <v>2019</v>
      </c>
      <c r="C8" s="44">
        <v>2616447.840000001</v>
      </c>
      <c r="D8" s="44">
        <v>78493.43520000002</v>
      </c>
      <c r="E8" s="44">
        <v>2537954.4048000006</v>
      </c>
      <c r="F8" s="45">
        <v>0.12049546063743688</v>
      </c>
      <c r="G8" s="42">
        <v>1</v>
      </c>
      <c r="H8" s="42">
        <v>2020</v>
      </c>
      <c r="I8" s="44">
        <v>2537954.4048000006</v>
      </c>
      <c r="J8" s="23">
        <f t="shared" si="0"/>
        <v>2335081.16</v>
      </c>
      <c r="K8" s="79"/>
      <c r="L8" s="67">
        <f>IF(A8&gt;0,1,0)</f>
        <v>1</v>
      </c>
      <c r="M8" s="60">
        <f t="shared" si="2"/>
        <v>43800</v>
      </c>
      <c r="N8" s="60">
        <f t="shared" si="1"/>
        <v>43800</v>
      </c>
      <c r="O8" s="59"/>
      <c r="P8" s="59"/>
      <c r="Q8" s="59"/>
      <c r="R8" s="59"/>
      <c r="S8" s="59"/>
      <c r="T8" s="61">
        <f t="shared" si="3"/>
        <v>1.1204954606374369</v>
      </c>
      <c r="U8" s="62">
        <f t="shared" si="4"/>
        <v>2335081.16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ht="12.75">
      <c r="A9" s="42">
        <v>1</v>
      </c>
      <c r="B9" s="42">
        <v>2020</v>
      </c>
      <c r="C9" s="44">
        <v>3399610.6666666684</v>
      </c>
      <c r="D9" s="44">
        <v>101988.32000000005</v>
      </c>
      <c r="E9" s="44">
        <v>3297622.3466666685</v>
      </c>
      <c r="F9" s="45">
        <v>0.11451406122032792</v>
      </c>
      <c r="G9" s="42">
        <v>2</v>
      </c>
      <c r="H9" s="42">
        <v>2020</v>
      </c>
      <c r="I9" s="44">
        <v>3297622.346666668</v>
      </c>
      <c r="J9" s="23">
        <f t="shared" si="0"/>
        <v>3050307.5599999996</v>
      </c>
      <c r="K9" s="79"/>
      <c r="L9" s="67">
        <f>IF(A9&gt;0,1,0)</f>
        <v>1</v>
      </c>
      <c r="M9" s="60">
        <f t="shared" si="2"/>
        <v>43831</v>
      </c>
      <c r="N9" s="60">
        <f t="shared" si="1"/>
        <v>43831</v>
      </c>
      <c r="O9" s="59"/>
      <c r="P9" s="59"/>
      <c r="Q9" s="59"/>
      <c r="R9" s="59"/>
      <c r="S9" s="59"/>
      <c r="T9" s="61">
        <f t="shared" si="3"/>
        <v>1.114514061220328</v>
      </c>
      <c r="U9" s="62">
        <f t="shared" si="4"/>
        <v>3050307.5599999996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ht="12.75">
      <c r="A10" s="42">
        <v>2</v>
      </c>
      <c r="B10" s="42">
        <v>2020</v>
      </c>
      <c r="C10" s="44">
        <v>3972714.8866666686</v>
      </c>
      <c r="D10" s="44">
        <v>119181.44660000005</v>
      </c>
      <c r="E10" s="44">
        <v>3853533.4400666687</v>
      </c>
      <c r="F10" s="45">
        <v>0.18753853400185272</v>
      </c>
      <c r="G10" s="42">
        <v>3</v>
      </c>
      <c r="H10" s="42">
        <v>2020</v>
      </c>
      <c r="I10" s="44">
        <v>3853533.440066668</v>
      </c>
      <c r="J10" s="23">
        <f t="shared" si="0"/>
        <v>3345335.5600000015</v>
      </c>
      <c r="K10" s="79"/>
      <c r="L10" s="67">
        <f aca="true" t="shared" si="5" ref="L10:L16">IF(A10&gt;0,1,0)</f>
        <v>1</v>
      </c>
      <c r="M10" s="60">
        <f t="shared" si="2"/>
        <v>43862</v>
      </c>
      <c r="N10" s="60">
        <f t="shared" si="1"/>
        <v>43862</v>
      </c>
      <c r="O10" s="59"/>
      <c r="P10" s="59"/>
      <c r="Q10" s="59"/>
      <c r="R10" s="59"/>
      <c r="S10" s="59"/>
      <c r="T10" s="61">
        <f t="shared" si="3"/>
        <v>1.1875385340018527</v>
      </c>
      <c r="U10" s="62">
        <f t="shared" si="4"/>
        <v>3345335.5600000015</v>
      </c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43" customFormat="1" ht="14.25" customHeight="1">
      <c r="A11" s="42">
        <v>3</v>
      </c>
      <c r="B11" s="42">
        <v>2020</v>
      </c>
      <c r="C11" s="44">
        <v>4084466.5866666683</v>
      </c>
      <c r="D11" s="44">
        <v>122533.99760000005</v>
      </c>
      <c r="E11" s="44">
        <v>3961932.5890666684</v>
      </c>
      <c r="F11" s="45">
        <v>0.0761275385275566</v>
      </c>
      <c r="G11" s="42">
        <v>4</v>
      </c>
      <c r="H11" s="42">
        <v>2020</v>
      </c>
      <c r="I11" s="44">
        <v>3961932.589066668</v>
      </c>
      <c r="J11" s="23">
        <f t="shared" si="0"/>
        <v>3795522.78</v>
      </c>
      <c r="K11" s="79"/>
      <c r="L11" s="67">
        <f>IF(A11&gt;0,1,0)</f>
        <v>1</v>
      </c>
      <c r="M11" s="60">
        <f>DATE(B11,A11,1)</f>
        <v>43891</v>
      </c>
      <c r="N11" s="60">
        <f t="shared" si="1"/>
        <v>43891</v>
      </c>
      <c r="O11" s="59"/>
      <c r="P11" s="59"/>
      <c r="Q11" s="59"/>
      <c r="R11" s="59"/>
      <c r="S11" s="59"/>
      <c r="T11" s="61">
        <f t="shared" si="3"/>
        <v>1.0761275385275566</v>
      </c>
      <c r="U11" s="62">
        <f t="shared" si="4"/>
        <v>3795522.78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ht="12.75">
      <c r="A12" s="42">
        <v>4</v>
      </c>
      <c r="B12" s="42">
        <v>2020</v>
      </c>
      <c r="C12" s="44">
        <v>1543270.4866666673</v>
      </c>
      <c r="D12" s="44">
        <v>46298.114600000015</v>
      </c>
      <c r="E12" s="44">
        <v>1496972.3720666673</v>
      </c>
      <c r="F12" s="45">
        <v>-0.5833680254319347</v>
      </c>
      <c r="G12" s="42">
        <v>5</v>
      </c>
      <c r="H12" s="42">
        <v>2020</v>
      </c>
      <c r="I12" s="44">
        <v>1496972.3720666673</v>
      </c>
      <c r="J12" s="23">
        <f t="shared" si="0"/>
        <v>3704157.580000002</v>
      </c>
      <c r="K12" s="79"/>
      <c r="L12" s="67">
        <f t="shared" si="5"/>
        <v>1</v>
      </c>
      <c r="M12" s="60">
        <f t="shared" si="2"/>
        <v>43922</v>
      </c>
      <c r="N12" s="60">
        <f t="shared" si="1"/>
        <v>43922</v>
      </c>
      <c r="O12" s="59"/>
      <c r="P12" s="59"/>
      <c r="Q12" s="59"/>
      <c r="R12" s="59"/>
      <c r="S12" s="59"/>
      <c r="T12" s="61">
        <f t="shared" si="3"/>
        <v>0.41663197456806533</v>
      </c>
      <c r="U12" s="62">
        <f t="shared" si="4"/>
        <v>3704157.580000002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1:44" ht="12.75">
      <c r="A13" s="42">
        <v>5</v>
      </c>
      <c r="B13" s="42">
        <v>2020</v>
      </c>
      <c r="C13" s="44">
        <v>376721.29333333345</v>
      </c>
      <c r="D13" s="44">
        <v>11301.638800000002</v>
      </c>
      <c r="E13" s="44">
        <v>365419.65453333344</v>
      </c>
      <c r="F13" s="45">
        <v>-0.8795602237704023</v>
      </c>
      <c r="G13" s="42">
        <v>6</v>
      </c>
      <c r="H13" s="42">
        <v>2020</v>
      </c>
      <c r="I13" s="44">
        <v>365419.65453333344</v>
      </c>
      <c r="J13" s="23">
        <f t="shared" si="0"/>
        <v>3127881.0466666697</v>
      </c>
      <c r="K13" s="79"/>
      <c r="L13" s="67">
        <f t="shared" si="5"/>
        <v>1</v>
      </c>
      <c r="M13" s="60">
        <f t="shared" si="2"/>
        <v>43952</v>
      </c>
      <c r="N13" s="60">
        <f t="shared" si="1"/>
        <v>43952</v>
      </c>
      <c r="O13" s="59"/>
      <c r="P13" s="59"/>
      <c r="Q13" s="59"/>
      <c r="R13" s="59"/>
      <c r="S13" s="59"/>
      <c r="T13" s="61">
        <f t="shared" si="3"/>
        <v>0.12043977622959767</v>
      </c>
      <c r="U13" s="62">
        <f t="shared" si="4"/>
        <v>3127881.0466666697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spans="1:44" ht="12.75">
      <c r="A14" s="42">
        <v>6</v>
      </c>
      <c r="B14" s="42">
        <v>2020</v>
      </c>
      <c r="C14" s="44">
        <v>438268.3133333335</v>
      </c>
      <c r="D14" s="44">
        <v>13148.049400000005</v>
      </c>
      <c r="E14" s="44">
        <v>425120.2639333335</v>
      </c>
      <c r="F14" s="45">
        <v>-0.82335402936154</v>
      </c>
      <c r="G14" s="42">
        <v>7</v>
      </c>
      <c r="H14" s="42">
        <v>2020</v>
      </c>
      <c r="I14" s="44">
        <v>425120.2639333335</v>
      </c>
      <c r="J14" s="23">
        <f t="shared" si="0"/>
        <v>2481054.6866666665</v>
      </c>
      <c r="K14" s="79"/>
      <c r="L14" s="67">
        <f t="shared" si="5"/>
        <v>1</v>
      </c>
      <c r="M14" s="60">
        <f t="shared" si="2"/>
        <v>43983</v>
      </c>
      <c r="N14" s="60">
        <f t="shared" si="1"/>
        <v>43983</v>
      </c>
      <c r="O14" s="59"/>
      <c r="P14" s="59"/>
      <c r="Q14" s="59"/>
      <c r="R14" s="59"/>
      <c r="S14" s="59"/>
      <c r="T14" s="61">
        <f t="shared" si="3"/>
        <v>0.17664597063846</v>
      </c>
      <c r="U14" s="62">
        <f t="shared" si="4"/>
        <v>2481054.6866666665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</row>
    <row r="15" spans="1:44" ht="12.75">
      <c r="A15" s="42">
        <v>7</v>
      </c>
      <c r="B15" s="42">
        <v>2020</v>
      </c>
      <c r="C15" s="44">
        <v>758211.8733333338</v>
      </c>
      <c r="D15" s="44">
        <v>22746.356200000013</v>
      </c>
      <c r="E15" s="44">
        <v>735465.5171333337</v>
      </c>
      <c r="F15" s="45">
        <v>-0.642961006497912</v>
      </c>
      <c r="G15" s="42">
        <v>8</v>
      </c>
      <c r="H15" s="42">
        <v>2020</v>
      </c>
      <c r="I15" s="44">
        <v>735465.5171333337</v>
      </c>
      <c r="J15" s="23">
        <f t="shared" si="0"/>
        <v>2123610.83</v>
      </c>
      <c r="K15" s="79"/>
      <c r="L15" s="67">
        <f t="shared" si="5"/>
        <v>1</v>
      </c>
      <c r="M15" s="60">
        <f t="shared" si="2"/>
        <v>44013</v>
      </c>
      <c r="N15" s="60">
        <f t="shared" si="1"/>
        <v>44013</v>
      </c>
      <c r="O15" s="59"/>
      <c r="P15" s="59"/>
      <c r="Q15" s="59"/>
      <c r="R15" s="59"/>
      <c r="S15" s="59"/>
      <c r="T15" s="61">
        <f t="shared" si="3"/>
        <v>0.357038993502088</v>
      </c>
      <c r="U15" s="62">
        <f t="shared" si="4"/>
        <v>2123610.83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12.75">
      <c r="A16" s="42">
        <v>8</v>
      </c>
      <c r="B16" s="42">
        <v>2020</v>
      </c>
      <c r="C16" s="44">
        <v>726969.8133333336</v>
      </c>
      <c r="D16" s="44">
        <v>21809.094400000005</v>
      </c>
      <c r="E16" s="44">
        <v>705160.7189333335</v>
      </c>
      <c r="F16" s="45">
        <v>-0.6676226197432793</v>
      </c>
      <c r="G16" s="42">
        <v>9</v>
      </c>
      <c r="H16" s="42">
        <v>2020</v>
      </c>
      <c r="I16" s="44">
        <v>705160.7189333335</v>
      </c>
      <c r="J16" s="23">
        <f t="shared" si="0"/>
        <v>2187181.97</v>
      </c>
      <c r="L16" s="67">
        <f t="shared" si="5"/>
        <v>1</v>
      </c>
      <c r="M16" s="60">
        <f t="shared" si="2"/>
        <v>44044</v>
      </c>
      <c r="N16" s="60">
        <f t="shared" si="1"/>
        <v>44044</v>
      </c>
      <c r="O16" s="59"/>
      <c r="P16" s="59"/>
      <c r="Q16" s="59"/>
      <c r="R16" s="59"/>
      <c r="S16" s="59"/>
      <c r="T16" s="61">
        <f t="shared" si="3"/>
        <v>0.3323773802567207</v>
      </c>
      <c r="U16" s="62">
        <f t="shared" si="4"/>
        <v>2187181.97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</row>
    <row r="17" spans="1:44" ht="12.75">
      <c r="A17" s="42">
        <v>9</v>
      </c>
      <c r="B17" s="42">
        <v>2020</v>
      </c>
      <c r="C17" s="44">
        <v>912051.5200000004</v>
      </c>
      <c r="D17" s="44">
        <v>27361.54560000001</v>
      </c>
      <c r="E17" s="44">
        <v>884689.9744000004</v>
      </c>
      <c r="F17" s="45">
        <v>-0.542869598097715</v>
      </c>
      <c r="G17" s="42">
        <v>10</v>
      </c>
      <c r="H17" s="42">
        <v>2020</v>
      </c>
      <c r="I17" s="44">
        <v>884689.9744000003</v>
      </c>
      <c r="J17" s="23">
        <f t="shared" si="0"/>
        <v>1995167.0599999998</v>
      </c>
      <c r="L17" s="67">
        <v>1</v>
      </c>
      <c r="M17" s="60">
        <f t="shared" si="2"/>
        <v>44075</v>
      </c>
      <c r="N17" s="60">
        <f t="shared" si="1"/>
        <v>44075</v>
      </c>
      <c r="O17" s="59"/>
      <c r="P17" s="59"/>
      <c r="Q17" s="59"/>
      <c r="R17" s="59"/>
      <c r="S17" s="59"/>
      <c r="T17" s="61">
        <f>IF(L17=1,(F17+1),"")</f>
        <v>0.45713040190228504</v>
      </c>
      <c r="U17" s="62">
        <f t="shared" si="4"/>
        <v>1995167.0599999998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</row>
    <row r="18" spans="1:44" ht="12.75">
      <c r="A18" s="7"/>
      <c r="B18" s="7"/>
      <c r="C18" s="8">
        <f>SUM(C6:C17)</f>
        <v>22856170.986666676</v>
      </c>
      <c r="D18" s="8">
        <f>SUM(D6:D17)</f>
        <v>685685.1296000002</v>
      </c>
      <c r="E18" s="8">
        <f>SUM(E6:E17)</f>
        <v>22170485.857066676</v>
      </c>
      <c r="F18" s="9">
        <f>(C18/U18)-1</f>
        <v>-0.28994187099199575</v>
      </c>
      <c r="G18" s="7"/>
      <c r="H18" s="7"/>
      <c r="I18" s="8">
        <f>SUM(I6:I17)</f>
        <v>22170485.857066676</v>
      </c>
      <c r="J18" s="8">
        <f>SUM(J6:J17)</f>
        <v>32189154.736666676</v>
      </c>
      <c r="K18" s="8"/>
      <c r="L18" s="67">
        <f>SUM(L6:L17)</f>
        <v>12</v>
      </c>
      <c r="M18" s="59"/>
      <c r="N18" s="59"/>
      <c r="O18" s="59"/>
      <c r="P18" s="59"/>
      <c r="Q18" s="63">
        <f>(F6+F7+F8+F9+F10+F11+F12+F13+F14+F15+F16+F17)/L18</f>
        <v>-0.3048186794333196</v>
      </c>
      <c r="R18" s="59"/>
      <c r="S18" s="59"/>
      <c r="T18" s="59"/>
      <c r="U18" s="62">
        <f>SUM(U6:U17)</f>
        <v>32189154.736666676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</row>
    <row r="19" spans="12:44" ht="12.75"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</row>
    <row r="20" spans="12:44" ht="12.75"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</row>
    <row r="21" spans="12:44" ht="12.75"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</row>
    <row r="22" spans="1:44" ht="12.75">
      <c r="A22" s="12"/>
      <c r="B22" s="12"/>
      <c r="C22" s="12" t="s">
        <v>30</v>
      </c>
      <c r="D22" s="12"/>
      <c r="E22" s="12"/>
      <c r="F22" s="12"/>
      <c r="G22" s="12"/>
      <c r="H22" s="12"/>
      <c r="I22" s="12"/>
      <c r="J22" s="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</row>
    <row r="23" spans="1:44" ht="12.75">
      <c r="A23" s="12"/>
      <c r="B23" s="12"/>
      <c r="C23" s="12" t="s">
        <v>31</v>
      </c>
      <c r="D23" s="12"/>
      <c r="E23" s="12"/>
      <c r="F23" s="12"/>
      <c r="G23" s="12"/>
      <c r="H23" s="12"/>
      <c r="I23" s="12"/>
      <c r="J23" s="12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</row>
    <row r="24" spans="1:44" ht="12.75">
      <c r="A24" s="12"/>
      <c r="B24" s="12"/>
      <c r="C24" s="12" t="s">
        <v>32</v>
      </c>
      <c r="D24" s="12">
        <f>+B27</f>
        <v>2019</v>
      </c>
      <c r="E24" s="12" t="s">
        <v>3</v>
      </c>
      <c r="F24" s="12">
        <f>+B27+1</f>
        <v>2020</v>
      </c>
      <c r="G24" s="12"/>
      <c r="H24" s="12"/>
      <c r="I24" s="12"/>
      <c r="J24" s="12" t="s">
        <v>39</v>
      </c>
      <c r="L24" s="59"/>
      <c r="M24" s="59">
        <f>70833.33*12</f>
        <v>849999.96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</row>
    <row r="25" spans="1:44" ht="12.75">
      <c r="A25" s="12"/>
      <c r="B25" s="12" t="s">
        <v>33</v>
      </c>
      <c r="C25" s="12" t="s">
        <v>34</v>
      </c>
      <c r="D25" s="12" t="s">
        <v>35</v>
      </c>
      <c r="E25" s="12" t="s">
        <v>81</v>
      </c>
      <c r="F25" s="12" t="s">
        <v>36</v>
      </c>
      <c r="G25" s="12" t="s">
        <v>82</v>
      </c>
      <c r="H25" s="12" t="s">
        <v>83</v>
      </c>
      <c r="I25" s="12" t="s">
        <v>84</v>
      </c>
      <c r="J25" s="12" t="s">
        <v>85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ht="12.75">
      <c r="A26" s="12" t="s">
        <v>14</v>
      </c>
      <c r="B26" s="12" t="s">
        <v>15</v>
      </c>
      <c r="C26" s="12"/>
      <c r="D26" s="12"/>
      <c r="E26" s="71">
        <v>1200000</v>
      </c>
      <c r="F26" s="72"/>
      <c r="G26" s="12"/>
      <c r="H26" s="12"/>
      <c r="I26" s="12"/>
      <c r="J26" s="12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</row>
    <row r="27" spans="1:44" ht="12.75">
      <c r="A27" s="73">
        <v>11</v>
      </c>
      <c r="B27" s="73">
        <v>2019</v>
      </c>
      <c r="C27" s="74">
        <v>62588.105586240024</v>
      </c>
      <c r="D27" s="74">
        <v>1633566.517347094</v>
      </c>
      <c r="E27" s="74">
        <v>100000</v>
      </c>
      <c r="F27" s="74">
        <v>880139.9104082563</v>
      </c>
      <c r="G27" s="74">
        <v>326713.3034694188</v>
      </c>
      <c r="H27" s="74">
        <v>326713.3034694188</v>
      </c>
      <c r="I27" s="74">
        <v>1696154.622933334</v>
      </c>
      <c r="J27" s="74">
        <v>1633566.517347094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</row>
    <row r="28" spans="1:35" ht="12.75">
      <c r="A28" s="42">
        <v>12</v>
      </c>
      <c r="B28" s="42">
        <v>2019</v>
      </c>
      <c r="C28" s="44">
        <v>81565.97224848003</v>
      </c>
      <c r="D28" s="44">
        <v>2128893.980284854</v>
      </c>
      <c r="E28" s="44">
        <v>100000</v>
      </c>
      <c r="F28" s="44">
        <v>1177336.3881709124</v>
      </c>
      <c r="G28" s="44">
        <v>425778.7960569708</v>
      </c>
      <c r="H28" s="44">
        <v>425778.7960569708</v>
      </c>
      <c r="I28" s="44">
        <v>2210459.952533334</v>
      </c>
      <c r="J28" s="44">
        <v>2128893.980284854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59"/>
      <c r="AG28" s="59"/>
      <c r="AH28" s="59"/>
      <c r="AI28" s="59"/>
    </row>
    <row r="29" spans="1:35" ht="12.75">
      <c r="A29" s="42">
        <v>1</v>
      </c>
      <c r="B29" s="42">
        <v>2020</v>
      </c>
      <c r="C29" s="44">
        <v>93650.51753712003</v>
      </c>
      <c r="D29" s="44">
        <v>2444303.887262881</v>
      </c>
      <c r="E29" s="44">
        <v>100000</v>
      </c>
      <c r="F29" s="44">
        <v>1366582.3323577284</v>
      </c>
      <c r="G29" s="44">
        <v>488860.7774525762</v>
      </c>
      <c r="H29" s="44">
        <v>488860.7774525762</v>
      </c>
      <c r="I29" s="44">
        <v>2537954.4048000006</v>
      </c>
      <c r="J29" s="44">
        <v>2444303.887262881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59"/>
      <c r="AG29" s="59"/>
      <c r="AH29" s="59"/>
      <c r="AI29" s="59"/>
    </row>
    <row r="30" spans="1:31" ht="12.75">
      <c r="A30" s="42">
        <v>2</v>
      </c>
      <c r="B30" s="42">
        <v>2020</v>
      </c>
      <c r="C30" s="44">
        <v>121682.26459200007</v>
      </c>
      <c r="D30" s="44">
        <v>3175940.082074668</v>
      </c>
      <c r="E30" s="44">
        <v>100000</v>
      </c>
      <c r="F30" s="44">
        <v>1805564.0492448008</v>
      </c>
      <c r="G30" s="44">
        <v>635188.0164149336</v>
      </c>
      <c r="H30" s="44">
        <v>635188.0164149336</v>
      </c>
      <c r="I30" s="44">
        <v>3297622.3466666685</v>
      </c>
      <c r="J30" s="44">
        <v>3175940.0820746683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2.75">
      <c r="A31" s="42">
        <v>3</v>
      </c>
      <c r="B31" s="42">
        <v>2020</v>
      </c>
      <c r="C31" s="44">
        <v>142195.38393846006</v>
      </c>
      <c r="D31" s="44">
        <v>3711338.056128208</v>
      </c>
      <c r="E31" s="44">
        <v>100000</v>
      </c>
      <c r="F31" s="44">
        <v>2126802.8336769245</v>
      </c>
      <c r="G31" s="44">
        <v>742267.6112256417</v>
      </c>
      <c r="H31" s="44">
        <v>742267.6112256417</v>
      </c>
      <c r="I31" s="44">
        <v>3853533.4400666677</v>
      </c>
      <c r="J31" s="44">
        <v>3711338.0561282076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12.75">
      <c r="A32" s="42">
        <v>4</v>
      </c>
      <c r="B32" s="42">
        <v>2020</v>
      </c>
      <c r="C32" s="44">
        <v>146195.31253656006</v>
      </c>
      <c r="D32" s="44">
        <v>3815737.276530108</v>
      </c>
      <c r="E32" s="44">
        <v>100000</v>
      </c>
      <c r="F32" s="44">
        <v>2189442.365918065</v>
      </c>
      <c r="G32" s="44">
        <v>763147.4553060216</v>
      </c>
      <c r="H32" s="44">
        <v>763147.4553060216</v>
      </c>
      <c r="I32" s="44">
        <v>3961932.5890666684</v>
      </c>
      <c r="J32" s="44">
        <v>3815737.2765301084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ht="12.75">
      <c r="A33" s="42">
        <v>5</v>
      </c>
      <c r="B33" s="42">
        <v>2020</v>
      </c>
      <c r="C33" s="44">
        <v>55238.280529260024</v>
      </c>
      <c r="D33" s="44">
        <v>1441734.0915374074</v>
      </c>
      <c r="E33" s="44">
        <v>100000</v>
      </c>
      <c r="F33" s="44">
        <v>765040.4549224444</v>
      </c>
      <c r="G33" s="44">
        <v>288346.8183074815</v>
      </c>
      <c r="H33" s="44">
        <v>288346.8183074815</v>
      </c>
      <c r="I33" s="44">
        <v>1496972.3720666673</v>
      </c>
      <c r="J33" s="44">
        <v>1441734.0915374074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2.75">
      <c r="A34" s="42">
        <v>6</v>
      </c>
      <c r="B34" s="42">
        <v>2020</v>
      </c>
      <c r="C34" s="44">
        <v>13483.985252280005</v>
      </c>
      <c r="D34" s="44">
        <v>351935.6692810534</v>
      </c>
      <c r="E34" s="44">
        <v>100000</v>
      </c>
      <c r="F34" s="44">
        <v>111161.40156863205</v>
      </c>
      <c r="G34" s="44">
        <v>70387.13385621068</v>
      </c>
      <c r="H34" s="44">
        <v>70387.13385621068</v>
      </c>
      <c r="I34" s="44">
        <v>365419.65453333344</v>
      </c>
      <c r="J34" s="44">
        <v>351935.6692810534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12.75">
      <c r="A35" s="42">
        <v>7</v>
      </c>
      <c r="B35" s="42">
        <v>2020</v>
      </c>
      <c r="C35" s="44">
        <v>15686.937739140007</v>
      </c>
      <c r="D35" s="44">
        <v>409433.3261941935</v>
      </c>
      <c r="E35" s="44">
        <v>100000</v>
      </c>
      <c r="F35" s="44">
        <v>145659.9957165161</v>
      </c>
      <c r="G35" s="44">
        <v>81886.6652388387</v>
      </c>
      <c r="H35" s="44">
        <v>81886.6652388387</v>
      </c>
      <c r="I35" s="44">
        <v>425120.2639333335</v>
      </c>
      <c r="J35" s="44">
        <v>409433.3261941935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ht="12.75">
      <c r="A36" s="42">
        <v>8</v>
      </c>
      <c r="B36" s="42">
        <v>2020</v>
      </c>
      <c r="C36" s="44">
        <v>27138.677582220014</v>
      </c>
      <c r="D36" s="44">
        <v>708326.8395511137</v>
      </c>
      <c r="E36" s="44">
        <v>100000</v>
      </c>
      <c r="F36" s="44">
        <v>324996.1037306682</v>
      </c>
      <c r="G36" s="44">
        <v>141665.36791022273</v>
      </c>
      <c r="H36" s="44">
        <v>141665.36791022273</v>
      </c>
      <c r="I36" s="44">
        <v>735465.5171333337</v>
      </c>
      <c r="J36" s="44">
        <v>708326.8395511137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2.75">
      <c r="A37" s="42">
        <v>9</v>
      </c>
      <c r="B37" s="42">
        <v>2020</v>
      </c>
      <c r="C37" s="44">
        <v>26020.43052864001</v>
      </c>
      <c r="D37" s="44">
        <v>679140.2884046935</v>
      </c>
      <c r="E37" s="44">
        <v>100000</v>
      </c>
      <c r="F37" s="44">
        <v>307484.173042816</v>
      </c>
      <c r="G37" s="44">
        <v>135828.0576809387</v>
      </c>
      <c r="H37" s="44">
        <v>135828.0576809387</v>
      </c>
      <c r="I37" s="44">
        <v>705160.7189333334</v>
      </c>
      <c r="J37" s="44">
        <v>679140.2884046934</v>
      </c>
      <c r="K37" s="76"/>
      <c r="L37" s="75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13" ht="12.75">
      <c r="A38" s="42">
        <v>10</v>
      </c>
      <c r="B38" s="42">
        <v>2020</v>
      </c>
      <c r="C38" s="44">
        <v>32645.060055360012</v>
      </c>
      <c r="D38" s="44">
        <v>852044.9143446403</v>
      </c>
      <c r="E38" s="44">
        <v>100000</v>
      </c>
      <c r="F38" s="44">
        <v>411226.9486067841</v>
      </c>
      <c r="G38" s="44">
        <v>170408.98286892808</v>
      </c>
      <c r="H38" s="44">
        <v>170408.98286892808</v>
      </c>
      <c r="I38" s="44">
        <v>884689.9744000002</v>
      </c>
      <c r="J38" s="44">
        <v>852044.9143446402</v>
      </c>
      <c r="L38" s="41"/>
      <c r="M38" s="47"/>
    </row>
    <row r="39" spans="1:11" ht="12.75">
      <c r="A39" s="13"/>
      <c r="B39" s="13"/>
      <c r="C39" s="14">
        <f aca="true" t="shared" si="6" ref="C39:J39">SUM(C27:C38)</f>
        <v>818090.9281257604</v>
      </c>
      <c r="D39" s="14">
        <f t="shared" si="6"/>
        <v>21352394.92894091</v>
      </c>
      <c r="E39" s="14">
        <f t="shared" si="6"/>
        <v>1200000</v>
      </c>
      <c r="F39" s="14">
        <f t="shared" si="6"/>
        <v>11611436.957364546</v>
      </c>
      <c r="G39" s="14">
        <f t="shared" si="6"/>
        <v>4270478.985788183</v>
      </c>
      <c r="H39" s="14">
        <f t="shared" si="6"/>
        <v>4270478.985788183</v>
      </c>
      <c r="I39" s="14">
        <f t="shared" si="6"/>
        <v>22170485.857066676</v>
      </c>
      <c r="J39" s="14">
        <f t="shared" si="6"/>
        <v>21352394.928940915</v>
      </c>
      <c r="K39" s="77"/>
    </row>
    <row r="43" spans="10:15" ht="12.75">
      <c r="J43" s="47"/>
      <c r="K43" s="78"/>
      <c r="L43" s="44"/>
      <c r="M43" s="47"/>
      <c r="N43" s="47"/>
      <c r="O43" s="47"/>
    </row>
    <row r="44" spans="10:15" ht="12.75">
      <c r="J44" s="47"/>
      <c r="K44" s="78"/>
      <c r="L44" s="44"/>
      <c r="M44" s="47"/>
      <c r="N44" s="47"/>
      <c r="O44" s="47"/>
    </row>
    <row r="45" spans="11:13" ht="12.75">
      <c r="K45" s="78"/>
      <c r="L45" s="44"/>
      <c r="M45" s="47"/>
    </row>
    <row r="46" spans="11:15" ht="12.75">
      <c r="K46" s="78"/>
      <c r="L46" s="44"/>
      <c r="M46" s="47"/>
      <c r="O46" s="47"/>
    </row>
    <row r="47" spans="11:13" ht="12.75">
      <c r="K47" s="78"/>
      <c r="L47" s="44"/>
      <c r="M47" s="47"/>
    </row>
    <row r="48" spans="11:13" ht="12.75">
      <c r="K48" s="78"/>
      <c r="L48" s="44"/>
      <c r="M48" s="47"/>
    </row>
    <row r="49" spans="11:13" ht="12.75">
      <c r="K49" s="78"/>
      <c r="L49" s="44"/>
      <c r="M49" s="47"/>
    </row>
    <row r="50" spans="11:13" ht="12.75">
      <c r="K50" s="78"/>
      <c r="L50" s="44"/>
      <c r="M50" s="47"/>
    </row>
    <row r="51" spans="11:13" ht="12.75">
      <c r="K51" s="78"/>
      <c r="L51" s="44"/>
      <c r="M51" s="47"/>
    </row>
    <row r="52" spans="11:13" ht="12.75">
      <c r="K52" s="78"/>
      <c r="L52" s="44"/>
      <c r="M52" s="47"/>
    </row>
    <row r="53" spans="11:13" ht="12.75">
      <c r="K53" s="78"/>
      <c r="L53" s="44"/>
      <c r="M53" s="47"/>
    </row>
    <row r="54" spans="11:13" ht="12.75">
      <c r="K54" s="78"/>
      <c r="L54" s="44"/>
      <c r="M54" s="47"/>
    </row>
    <row r="71" spans="1:9" ht="12.75">
      <c r="A71" s="11"/>
      <c r="B71" s="11"/>
      <c r="C71" s="11" t="s">
        <v>24</v>
      </c>
      <c r="D71" s="11"/>
      <c r="E71" s="11"/>
      <c r="F71" s="11"/>
      <c r="G71" s="11"/>
      <c r="H71" s="11"/>
      <c r="I71" s="11"/>
    </row>
    <row r="72" spans="1:9" ht="12.75">
      <c r="A72" s="11"/>
      <c r="B72" s="11"/>
      <c r="C72" s="11" t="s">
        <v>25</v>
      </c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 t="s">
        <v>26</v>
      </c>
      <c r="D73" s="11">
        <f>+B6</f>
        <v>2019</v>
      </c>
      <c r="E73" s="11" t="s">
        <v>3</v>
      </c>
      <c r="F73" s="11">
        <f>+D73+1</f>
        <v>2020</v>
      </c>
      <c r="G73" s="11"/>
      <c r="H73" s="11"/>
      <c r="I73" s="11"/>
    </row>
    <row r="74" spans="1:9" ht="12.75">
      <c r="A74" s="11"/>
      <c r="B74" s="11" t="s">
        <v>4</v>
      </c>
      <c r="C74" s="11" t="s">
        <v>19</v>
      </c>
      <c r="D74" s="11" t="s">
        <v>27</v>
      </c>
      <c r="E74" s="11" t="s">
        <v>28</v>
      </c>
      <c r="F74" s="11" t="s">
        <v>21</v>
      </c>
      <c r="G74" s="11" t="s">
        <v>22</v>
      </c>
      <c r="H74" s="11"/>
      <c r="I74" s="11" t="s">
        <v>29</v>
      </c>
    </row>
    <row r="75" spans="1:9" ht="12.75">
      <c r="A75" s="11" t="s">
        <v>63</v>
      </c>
      <c r="B75" s="11" t="s">
        <v>15</v>
      </c>
      <c r="C75" s="11"/>
      <c r="D75" s="11"/>
      <c r="E75" s="11"/>
      <c r="F75" s="11"/>
      <c r="G75" s="11" t="s">
        <v>68</v>
      </c>
      <c r="H75" s="11"/>
      <c r="I75" s="11"/>
    </row>
    <row r="76" spans="1:15" ht="12.75">
      <c r="A76">
        <v>1</v>
      </c>
      <c r="B76" t="str">
        <f>+B6&amp;"-"&amp;(B6+1)</f>
        <v>2019-2020</v>
      </c>
      <c r="C76" s="1">
        <f>+C6+C7+C8</f>
        <v>6643885.546666669</v>
      </c>
      <c r="D76" s="1">
        <f>+D6+D7+D8</f>
        <v>199316.56640000007</v>
      </c>
      <c r="E76" s="1">
        <f>+E6+E7+E8</f>
        <v>6444568.98026667</v>
      </c>
      <c r="F76" s="31">
        <f>+F6+F7+F8/O76</f>
        <v>0.023400908861586633</v>
      </c>
      <c r="G76" s="10">
        <f aca="true" t="shared" si="7" ref="G76:H79">+A76</f>
        <v>1</v>
      </c>
      <c r="H76" s="1" t="str">
        <f t="shared" si="7"/>
        <v>2019-2020</v>
      </c>
      <c r="I76" s="1">
        <f>+I6+I7+I8</f>
        <v>6444568.980266669</v>
      </c>
      <c r="L76" s="10"/>
      <c r="O76" s="10">
        <f>+L6+L7+L8</f>
        <v>3</v>
      </c>
    </row>
    <row r="77" spans="1:15" ht="12.75">
      <c r="A77">
        <v>2</v>
      </c>
      <c r="B77" t="str">
        <f>+B76</f>
        <v>2019-2020</v>
      </c>
      <c r="C77" s="1">
        <f aca="true" t="shared" si="8" ref="C77:E78">+C9+C10+C11</f>
        <v>11456792.140000004</v>
      </c>
      <c r="D77" s="1">
        <f t="shared" si="8"/>
        <v>343703.76420000015</v>
      </c>
      <c r="E77" s="1">
        <f t="shared" si="8"/>
        <v>11113088.375800006</v>
      </c>
      <c r="F77" s="31">
        <f>+F7+F8+F9/O77</f>
        <v>0.21925009438947143</v>
      </c>
      <c r="G77" s="10">
        <f t="shared" si="7"/>
        <v>2</v>
      </c>
      <c r="H77" s="1" t="str">
        <f t="shared" si="7"/>
        <v>2019-2020</v>
      </c>
      <c r="I77" s="1">
        <f>+I9+I10+I11</f>
        <v>11113088.375800004</v>
      </c>
      <c r="L77" s="10"/>
      <c r="O77" s="10">
        <f>+L9+L10+L11</f>
        <v>3</v>
      </c>
    </row>
    <row r="78" spans="1:15" ht="12.75">
      <c r="A78">
        <v>3</v>
      </c>
      <c r="B78" t="str">
        <f>+B76</f>
        <v>2019-2020</v>
      </c>
      <c r="C78" s="1">
        <f t="shared" si="8"/>
        <v>9600451.960000005</v>
      </c>
      <c r="D78" s="1">
        <f t="shared" si="8"/>
        <v>288013.5588000001</v>
      </c>
      <c r="E78" s="1">
        <f t="shared" si="8"/>
        <v>9312438.401200004</v>
      </c>
      <c r="F78" s="31">
        <f>+F8+F9+F10/O78</f>
        <v>0.29752236652504904</v>
      </c>
      <c r="G78" s="10">
        <f t="shared" si="7"/>
        <v>3</v>
      </c>
      <c r="H78" s="1" t="str">
        <f t="shared" si="7"/>
        <v>2019-2020</v>
      </c>
      <c r="I78" s="1">
        <f>+I10+I11+I12</f>
        <v>9312438.401200004</v>
      </c>
      <c r="O78" s="10">
        <f>+L12+L13+L14</f>
        <v>3</v>
      </c>
    </row>
    <row r="79" spans="1:15" ht="12.75">
      <c r="A79">
        <v>4</v>
      </c>
      <c r="B79" t="str">
        <f>+B76</f>
        <v>2019-2020</v>
      </c>
      <c r="C79" s="1">
        <f>+C13+C14+C15</f>
        <v>1573201.4800000007</v>
      </c>
      <c r="D79" s="1">
        <f>+D13+D14+D15</f>
        <v>47196.04440000002</v>
      </c>
      <c r="E79" s="1">
        <f>+E13+E14+E15</f>
        <v>1526005.4356000007</v>
      </c>
      <c r="F79" s="1">
        <f>+F13+F14+F15</f>
        <v>-2.3458752596298544</v>
      </c>
      <c r="G79" s="10">
        <f t="shared" si="7"/>
        <v>4</v>
      </c>
      <c r="H79" s="1" t="str">
        <f t="shared" si="7"/>
        <v>2019-2020</v>
      </c>
      <c r="I79" s="1">
        <f>+I13+I14+I15</f>
        <v>1526005.4356000007</v>
      </c>
      <c r="O79" s="10">
        <f>+L15+L16+L17</f>
        <v>3</v>
      </c>
    </row>
    <row r="80" spans="1:9" ht="12.75">
      <c r="A80" s="3" t="s">
        <v>69</v>
      </c>
      <c r="B80" s="3"/>
      <c r="C80" s="32">
        <f>SUM(C76:C79)</f>
        <v>29274331.12666668</v>
      </c>
      <c r="D80" s="32">
        <f>SUM(D76:D79)</f>
        <v>878229.9338000003</v>
      </c>
      <c r="E80" s="32">
        <f>SUM(E76:E79)</f>
        <v>28396101.19286668</v>
      </c>
      <c r="F80" s="33">
        <f>+F18</f>
        <v>-0.28994187099199575</v>
      </c>
      <c r="G80" s="34"/>
      <c r="H80" s="3"/>
      <c r="I80" s="32">
        <f>SUM(I76:I79)</f>
        <v>28396101.19286668</v>
      </c>
    </row>
    <row r="86" spans="1:9" ht="12.75">
      <c r="A86" s="12"/>
      <c r="B86" s="12"/>
      <c r="C86" s="12" t="s">
        <v>30</v>
      </c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 t="s">
        <v>31</v>
      </c>
      <c r="D87" s="12"/>
      <c r="E87" s="12"/>
      <c r="F87" s="12"/>
      <c r="G87" s="12"/>
      <c r="H87" s="12"/>
      <c r="I87" s="12"/>
    </row>
    <row r="88" spans="1:9" ht="12.75">
      <c r="A88" s="12"/>
      <c r="B88" s="11" t="s">
        <v>4</v>
      </c>
      <c r="C88" s="12" t="s">
        <v>32</v>
      </c>
      <c r="D88" s="12">
        <f>+B6</f>
        <v>2019</v>
      </c>
      <c r="E88" s="12" t="s">
        <v>3</v>
      </c>
      <c r="F88" s="12">
        <f>+D88+1</f>
        <v>2020</v>
      </c>
      <c r="G88" s="12"/>
      <c r="H88" s="12"/>
      <c r="I88" s="12"/>
    </row>
    <row r="89" spans="1:9" ht="12.75">
      <c r="A89" s="12" t="s">
        <v>63</v>
      </c>
      <c r="B89" s="11" t="s">
        <v>15</v>
      </c>
      <c r="C89" s="12" t="s">
        <v>34</v>
      </c>
      <c r="D89" s="12" t="s">
        <v>35</v>
      </c>
      <c r="E89" s="12" t="s">
        <v>62</v>
      </c>
      <c r="F89" s="12" t="s">
        <v>36</v>
      </c>
      <c r="G89" s="12" t="s">
        <v>37</v>
      </c>
      <c r="H89" s="12" t="s">
        <v>38</v>
      </c>
      <c r="I89" s="12" t="s">
        <v>39</v>
      </c>
    </row>
    <row r="90" spans="1:9" ht="12.75">
      <c r="A90">
        <f>+A76</f>
        <v>1</v>
      </c>
      <c r="B90" t="str">
        <f>+B76</f>
        <v>2019-2020</v>
      </c>
      <c r="C90" s="1">
        <f aca="true" t="shared" si="9" ref="C90:H90">+C27+C28+C29</f>
        <v>237804.59537184009</v>
      </c>
      <c r="D90" s="1">
        <f t="shared" si="9"/>
        <v>6206764.384894828</v>
      </c>
      <c r="E90" s="1">
        <f t="shared" si="9"/>
        <v>300000</v>
      </c>
      <c r="F90" s="1">
        <f t="shared" si="9"/>
        <v>3424058.6309368974</v>
      </c>
      <c r="G90" s="1">
        <f t="shared" si="9"/>
        <v>1241352.8769789657</v>
      </c>
      <c r="H90" s="1">
        <f t="shared" si="9"/>
        <v>1241352.8769789657</v>
      </c>
      <c r="I90" s="1">
        <f>+J27+J28+J29</f>
        <v>6206764.384894828</v>
      </c>
    </row>
    <row r="91" spans="1:9" ht="12.75">
      <c r="A91">
        <f>+A77</f>
        <v>2</v>
      </c>
      <c r="B91" t="str">
        <f>+B90</f>
        <v>2019-2020</v>
      </c>
      <c r="C91" s="1">
        <f aca="true" t="shared" si="10" ref="C91:H91">+C30+C31+C32</f>
        <v>410072.9610670202</v>
      </c>
      <c r="D91" s="1">
        <f t="shared" si="10"/>
        <v>10703015.414732983</v>
      </c>
      <c r="E91" s="1">
        <f t="shared" si="10"/>
        <v>300000</v>
      </c>
      <c r="F91" s="1">
        <f t="shared" si="10"/>
        <v>6121809.24883979</v>
      </c>
      <c r="G91" s="1">
        <f t="shared" si="10"/>
        <v>2140603.0829465967</v>
      </c>
      <c r="H91" s="1">
        <f t="shared" si="10"/>
        <v>2140603.0829465967</v>
      </c>
      <c r="I91" s="1">
        <f>+J30+J31+J32</f>
        <v>10703015.414732985</v>
      </c>
    </row>
    <row r="92" spans="1:9" ht="12.75">
      <c r="A92">
        <f>+A78</f>
        <v>3</v>
      </c>
      <c r="B92" t="str">
        <f>+B90</f>
        <v>2019-2020</v>
      </c>
      <c r="C92" s="1">
        <f>+C33+C34+C35</f>
        <v>84409.20352068004</v>
      </c>
      <c r="D92" s="1">
        <f>+D33+D34+D35</f>
        <v>2203103.087012654</v>
      </c>
      <c r="E92" s="1">
        <f>+E33+E34+E35</f>
        <v>300000</v>
      </c>
      <c r="F92" s="1">
        <f>+F33+F34+F35</f>
        <v>1021861.8522075927</v>
      </c>
      <c r="G92" s="1">
        <f>+G33+G34+G35</f>
        <v>440620.61740253086</v>
      </c>
      <c r="H92" s="1">
        <f>+H33+H34+I35</f>
        <v>783854.2160970257</v>
      </c>
      <c r="I92" s="1">
        <f>+J33+J34+J35</f>
        <v>2203103.087012654</v>
      </c>
    </row>
    <row r="93" spans="1:9" ht="12.75">
      <c r="A93">
        <f>+A79</f>
        <v>4</v>
      </c>
      <c r="B93" t="str">
        <f>+B90</f>
        <v>2019-2020</v>
      </c>
      <c r="C93" s="1">
        <f>+C36+C37+C38</f>
        <v>85804.16816622003</v>
      </c>
      <c r="D93" s="1">
        <f>+D36+D37+D38</f>
        <v>2239512.0423004474</v>
      </c>
      <c r="E93" s="1">
        <f>+E36+E37+E38</f>
        <v>300000</v>
      </c>
      <c r="F93" s="1">
        <f>+F36+F37+F38</f>
        <v>1043707.2253802683</v>
      </c>
      <c r="G93" s="1">
        <f>+G36+G37+G38</f>
        <v>447902.4084600896</v>
      </c>
      <c r="H93" s="1">
        <f>+I36+I37+I38</f>
        <v>2325316.210466667</v>
      </c>
      <c r="I93" s="1">
        <f>+J36+J37+J38</f>
        <v>2239512.042300447</v>
      </c>
    </row>
    <row r="94" spans="1:9" ht="12.75">
      <c r="A94" s="3" t="s">
        <v>69</v>
      </c>
      <c r="B94" s="3"/>
      <c r="C94" s="32">
        <f aca="true" t="shared" si="11" ref="C94:I94">SUM(C90:C93)</f>
        <v>818090.9281257604</v>
      </c>
      <c r="D94" s="32">
        <f t="shared" si="11"/>
        <v>21352394.928940915</v>
      </c>
      <c r="E94" s="32">
        <f t="shared" si="11"/>
        <v>1200000</v>
      </c>
      <c r="F94" s="32">
        <f t="shared" si="11"/>
        <v>11611436.957364548</v>
      </c>
      <c r="G94" s="32">
        <f t="shared" si="11"/>
        <v>4270478.985788182</v>
      </c>
      <c r="H94" s="32">
        <f t="shared" si="11"/>
        <v>6491126.386489255</v>
      </c>
      <c r="I94" s="32">
        <f t="shared" si="11"/>
        <v>21352394.928940915</v>
      </c>
    </row>
  </sheetData>
  <sheetProtection/>
  <printOptions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I60"/>
  <sheetViews>
    <sheetView zoomScalePageLayoutView="0" workbookViewId="0" topLeftCell="A1">
      <selection activeCell="A17" sqref="A17:I17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5.28125" style="0" customWidth="1"/>
    <col min="5" max="5" width="14.140625" style="0" customWidth="1"/>
    <col min="8" max="8" width="9.7109375" style="0" customWidth="1"/>
    <col min="9" max="9" width="17.28125" style="0" customWidth="1"/>
    <col min="10" max="10" width="22.140625" style="0" customWidth="1"/>
    <col min="11" max="11" width="16.1406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  <col min="87" max="87" width="19.421875" style="0" customWidth="1"/>
  </cols>
  <sheetData>
    <row r="1" spans="1:26" ht="12.75">
      <c r="A1" s="3"/>
      <c r="B1" s="3" t="s">
        <v>0</v>
      </c>
      <c r="C1" s="3"/>
      <c r="D1" s="3"/>
      <c r="E1" s="3"/>
      <c r="F1" s="3"/>
      <c r="G1" s="3"/>
      <c r="H1" s="3"/>
      <c r="I1" s="3"/>
      <c r="J1" s="11"/>
      <c r="K1" s="43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43"/>
      <c r="Y1" s="59"/>
      <c r="Z1" s="43"/>
    </row>
    <row r="2" spans="1:26" ht="12.75">
      <c r="A2" s="3"/>
      <c r="B2" s="3" t="s">
        <v>16</v>
      </c>
      <c r="C2" s="3"/>
      <c r="D2" s="3"/>
      <c r="E2" s="3"/>
      <c r="F2" s="3"/>
      <c r="G2" s="3"/>
      <c r="H2" s="3"/>
      <c r="I2" s="3"/>
      <c r="J2" s="11"/>
      <c r="K2" s="43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43"/>
      <c r="Y2" s="59"/>
      <c r="Z2" s="43"/>
    </row>
    <row r="3" spans="1:87" ht="12.75">
      <c r="A3" s="3"/>
      <c r="B3" s="3" t="s">
        <v>17</v>
      </c>
      <c r="C3" s="3">
        <f>+B6</f>
        <v>2019</v>
      </c>
      <c r="D3" s="3" t="s">
        <v>3</v>
      </c>
      <c r="E3" s="3">
        <f>+B6+1</f>
        <v>2020</v>
      </c>
      <c r="F3" s="3"/>
      <c r="G3" s="3"/>
      <c r="H3" s="3"/>
      <c r="I3" s="3"/>
      <c r="J3" s="11"/>
      <c r="K3" s="43"/>
      <c r="L3" s="59"/>
      <c r="M3" s="59">
        <f>+B6-1</f>
        <v>2018</v>
      </c>
      <c r="N3" s="59" t="s">
        <v>3</v>
      </c>
      <c r="O3" s="59">
        <f>+B6</f>
        <v>2019</v>
      </c>
      <c r="P3" s="59"/>
      <c r="Q3" s="59"/>
      <c r="R3" s="59"/>
      <c r="S3" s="59"/>
      <c r="T3" s="59"/>
      <c r="U3" s="59"/>
      <c r="V3" s="59"/>
      <c r="W3" s="59"/>
      <c r="X3" s="43"/>
      <c r="Y3" s="59"/>
      <c r="Z3" s="43"/>
      <c r="CI3" s="23">
        <v>577193.63</v>
      </c>
    </row>
    <row r="4" spans="1:87" ht="12.75">
      <c r="A4" t="s">
        <v>18</v>
      </c>
      <c r="C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  <c r="J4" s="80" t="s">
        <v>86</v>
      </c>
      <c r="K4" s="43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43"/>
      <c r="Y4" s="59"/>
      <c r="Z4" s="43"/>
      <c r="CI4" s="23">
        <v>28282487.28</v>
      </c>
    </row>
    <row r="5" spans="1:87" ht="12.75">
      <c r="A5" t="s">
        <v>14</v>
      </c>
      <c r="B5" s="46" t="s">
        <v>15</v>
      </c>
      <c r="K5" s="43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43"/>
      <c r="Y5" s="59"/>
      <c r="Z5" s="43"/>
      <c r="CI5" s="23">
        <v>9742191.36</v>
      </c>
    </row>
    <row r="6" spans="1:87" s="43" customFormat="1" ht="15.75" customHeight="1">
      <c r="A6" s="42">
        <v>10</v>
      </c>
      <c r="B6" s="42">
        <v>2019</v>
      </c>
      <c r="C6" s="44">
        <v>874306.5066666671</v>
      </c>
      <c r="D6" s="44">
        <v>26229.19520000001</v>
      </c>
      <c r="E6" s="44">
        <v>848077.3114666671</v>
      </c>
      <c r="F6" s="45">
        <v>-0.07734752469615092</v>
      </c>
      <c r="G6" s="42">
        <v>11</v>
      </c>
      <c r="H6" s="42">
        <v>2019</v>
      </c>
      <c r="I6" s="44">
        <v>848077.3114666671</v>
      </c>
      <c r="J6" s="23">
        <f aca="true" t="shared" si="0" ref="J6:J17">+S6</f>
        <v>947601.106666667</v>
      </c>
      <c r="K6" s="79"/>
      <c r="L6" s="67">
        <f aca="true" t="shared" si="1" ref="L6:L17">IF(A6&gt;0,1,0)</f>
        <v>1</v>
      </c>
      <c r="M6" s="64">
        <f>DATE(B6,A6,1)</f>
        <v>43739</v>
      </c>
      <c r="N6" s="60">
        <f>IF(A6&gt;0,M6,"")</f>
        <v>43739</v>
      </c>
      <c r="O6" s="59"/>
      <c r="P6" s="59"/>
      <c r="Q6" s="59"/>
      <c r="R6" s="61">
        <f>IF(L6=1,(F6+1),0)</f>
        <v>0.9226524753038491</v>
      </c>
      <c r="S6" s="62">
        <f>IF(L6=1,C6/R6,0)</f>
        <v>947601.106666667</v>
      </c>
      <c r="T6" s="59"/>
      <c r="U6" s="59"/>
      <c r="V6" s="59"/>
      <c r="W6" s="59"/>
      <c r="Y6" s="59"/>
      <c r="CI6" s="75">
        <v>4871095.62</v>
      </c>
    </row>
    <row r="7" spans="1:87" ht="12.75">
      <c r="A7" s="42">
        <v>11</v>
      </c>
      <c r="B7" s="42">
        <v>2019</v>
      </c>
      <c r="C7" s="44">
        <v>1139412.3466666671</v>
      </c>
      <c r="D7" s="44">
        <v>34182.370400000014</v>
      </c>
      <c r="E7" s="44">
        <v>1105229.9762666672</v>
      </c>
      <c r="F7" s="45">
        <v>0.06058328494796483</v>
      </c>
      <c r="G7" s="42">
        <v>12</v>
      </c>
      <c r="H7" s="42">
        <v>2019</v>
      </c>
      <c r="I7" s="44">
        <v>1105229.9762666672</v>
      </c>
      <c r="J7" s="23">
        <f t="shared" si="0"/>
        <v>1074326.14</v>
      </c>
      <c r="K7" s="79"/>
      <c r="L7" s="67">
        <f t="shared" si="1"/>
        <v>1</v>
      </c>
      <c r="M7" s="64">
        <f aca="true" t="shared" si="2" ref="M7:M17">DATE(B7,A7,1)</f>
        <v>43770</v>
      </c>
      <c r="N7" s="60">
        <f aca="true" t="shared" si="3" ref="N7:N17">IF(A7&gt;0,M7," ")</f>
        <v>43770</v>
      </c>
      <c r="O7" s="59"/>
      <c r="P7" s="59"/>
      <c r="Q7" s="59"/>
      <c r="R7" s="61">
        <f aca="true" t="shared" si="4" ref="R7:R17">IF(L7=1,(F7+1),0)</f>
        <v>1.0605832849479648</v>
      </c>
      <c r="S7" s="62">
        <f aca="true" t="shared" si="5" ref="S7:S17">IF(L7=1,C7/R7,0)</f>
        <v>1074326.14</v>
      </c>
      <c r="T7" s="59"/>
      <c r="U7" s="59"/>
      <c r="V7" s="59"/>
      <c r="W7" s="59"/>
      <c r="X7" s="43"/>
      <c r="Y7" s="59"/>
      <c r="Z7" s="43"/>
      <c r="CI7" s="75">
        <v>451957.33</v>
      </c>
    </row>
    <row r="8" spans="1:87" ht="12.75">
      <c r="A8" s="42">
        <v>12</v>
      </c>
      <c r="B8" s="42">
        <v>2019</v>
      </c>
      <c r="C8" s="44">
        <v>1308223.9200000004</v>
      </c>
      <c r="D8" s="44">
        <v>39246.71760000001</v>
      </c>
      <c r="E8" s="44">
        <v>1268977.2024000003</v>
      </c>
      <c r="F8" s="45">
        <v>0.12049546063743688</v>
      </c>
      <c r="G8" s="42">
        <v>1</v>
      </c>
      <c r="H8" s="42">
        <v>2020</v>
      </c>
      <c r="I8" s="44">
        <v>1268977.2024000003</v>
      </c>
      <c r="J8" s="23">
        <f t="shared" si="0"/>
        <v>1167540.58</v>
      </c>
      <c r="K8" s="79"/>
      <c r="L8" s="67">
        <f t="shared" si="1"/>
        <v>1</v>
      </c>
      <c r="M8" s="64">
        <f t="shared" si="2"/>
        <v>43800</v>
      </c>
      <c r="N8" s="60">
        <f t="shared" si="3"/>
        <v>43800</v>
      </c>
      <c r="O8" s="59"/>
      <c r="P8" s="59"/>
      <c r="Q8" s="59"/>
      <c r="R8" s="61">
        <f t="shared" si="4"/>
        <v>1.1204954606374369</v>
      </c>
      <c r="S8" s="62">
        <f t="shared" si="5"/>
        <v>1167540.58</v>
      </c>
      <c r="T8" s="59"/>
      <c r="U8" s="59"/>
      <c r="V8" s="59"/>
      <c r="W8" s="59"/>
      <c r="X8" s="43"/>
      <c r="Y8" s="59"/>
      <c r="Z8" s="43"/>
      <c r="CI8" s="23">
        <f>+SUM(CI3:CI7)</f>
        <v>43924925.21999999</v>
      </c>
    </row>
    <row r="9" spans="1:87" ht="12.75">
      <c r="A9" s="42">
        <v>1</v>
      </c>
      <c r="B9" s="42">
        <v>2020</v>
      </c>
      <c r="C9" s="44">
        <v>1699805.3333333342</v>
      </c>
      <c r="D9" s="44">
        <v>50994.160000000025</v>
      </c>
      <c r="E9" s="44">
        <v>1648811.1733333343</v>
      </c>
      <c r="F9" s="45">
        <v>0.11451406122032792</v>
      </c>
      <c r="G9" s="42">
        <v>2</v>
      </c>
      <c r="H9" s="42">
        <v>2020</v>
      </c>
      <c r="I9" s="44">
        <v>1648811.1733333343</v>
      </c>
      <c r="J9" s="23">
        <f t="shared" si="0"/>
        <v>1525153.7799999998</v>
      </c>
      <c r="K9" s="79"/>
      <c r="L9" s="67">
        <f t="shared" si="1"/>
        <v>1</v>
      </c>
      <c r="M9" s="64">
        <f t="shared" si="2"/>
        <v>43831</v>
      </c>
      <c r="N9" s="60">
        <f t="shared" si="3"/>
        <v>43831</v>
      </c>
      <c r="O9" s="59"/>
      <c r="P9" s="59"/>
      <c r="Q9" s="59"/>
      <c r="R9" s="61">
        <f t="shared" si="4"/>
        <v>1.114514061220328</v>
      </c>
      <c r="S9" s="62">
        <f t="shared" si="5"/>
        <v>1525153.7799999998</v>
      </c>
      <c r="T9" s="59"/>
      <c r="U9" s="59"/>
      <c r="V9" s="59"/>
      <c r="W9" s="59"/>
      <c r="X9" s="43"/>
      <c r="Y9" s="59"/>
      <c r="Z9" s="43"/>
      <c r="CI9" s="23">
        <v>43347731.6</v>
      </c>
    </row>
    <row r="10" spans="1:87" ht="12.75">
      <c r="A10" s="42">
        <v>2</v>
      </c>
      <c r="B10" s="42">
        <v>2020</v>
      </c>
      <c r="C10" s="44">
        <v>1986357.4433333343</v>
      </c>
      <c r="D10" s="44">
        <v>59590.72330000003</v>
      </c>
      <c r="E10" s="44">
        <v>1926766.7200333343</v>
      </c>
      <c r="F10" s="45">
        <v>0.18753853400185272</v>
      </c>
      <c r="G10" s="42">
        <v>3</v>
      </c>
      <c r="H10" s="42">
        <v>2020</v>
      </c>
      <c r="I10" s="44">
        <v>1926766.7200333343</v>
      </c>
      <c r="J10" s="23">
        <f t="shared" si="0"/>
        <v>1672667.7800000007</v>
      </c>
      <c r="K10" s="79"/>
      <c r="L10" s="67">
        <f t="shared" si="1"/>
        <v>1</v>
      </c>
      <c r="M10" s="64">
        <f t="shared" si="2"/>
        <v>43862</v>
      </c>
      <c r="N10" s="60">
        <f t="shared" si="3"/>
        <v>43862</v>
      </c>
      <c r="O10" s="59"/>
      <c r="P10" s="59"/>
      <c r="Q10" s="59"/>
      <c r="R10" s="61">
        <f t="shared" si="4"/>
        <v>1.1875385340018527</v>
      </c>
      <c r="S10" s="62">
        <f t="shared" si="5"/>
        <v>1672667.7800000007</v>
      </c>
      <c r="T10" s="59"/>
      <c r="U10" s="59"/>
      <c r="V10" s="59"/>
      <c r="W10" s="59"/>
      <c r="X10" s="43"/>
      <c r="Y10" s="59"/>
      <c r="Z10" s="43"/>
      <c r="CI10" s="23">
        <f>+CI8-CI9</f>
        <v>577193.6199999899</v>
      </c>
    </row>
    <row r="11" spans="1:26" ht="14.25" customHeight="1">
      <c r="A11" s="42">
        <v>3</v>
      </c>
      <c r="B11" s="42">
        <v>2020</v>
      </c>
      <c r="C11" s="44">
        <v>2042233.2933333341</v>
      </c>
      <c r="D11" s="44">
        <v>61266.99880000002</v>
      </c>
      <c r="E11" s="44">
        <v>1980966.2945333342</v>
      </c>
      <c r="F11" s="45">
        <v>0.0761275385275566</v>
      </c>
      <c r="G11" s="42">
        <v>4</v>
      </c>
      <c r="H11" s="42">
        <v>2020</v>
      </c>
      <c r="I11" s="44">
        <v>1980966.2945333342</v>
      </c>
      <c r="J11" s="23">
        <f t="shared" si="0"/>
        <v>1897761.39</v>
      </c>
      <c r="K11" s="79"/>
      <c r="L11" s="67">
        <f>IF(A11&gt;0,1,0)</f>
        <v>1</v>
      </c>
      <c r="M11" s="64">
        <f>DATE(B11,A11,1)</f>
        <v>43891</v>
      </c>
      <c r="N11" s="60">
        <f t="shared" si="3"/>
        <v>43891</v>
      </c>
      <c r="O11" s="59"/>
      <c r="P11" s="59"/>
      <c r="Q11" s="59"/>
      <c r="R11" s="61">
        <f t="shared" si="4"/>
        <v>1.0761275385275566</v>
      </c>
      <c r="S11" s="62">
        <f t="shared" si="5"/>
        <v>1897761.39</v>
      </c>
      <c r="T11" s="59"/>
      <c r="U11" s="59"/>
      <c r="V11" s="59"/>
      <c r="W11" s="59"/>
      <c r="X11" s="43"/>
      <c r="Y11" s="59"/>
      <c r="Z11" s="43"/>
    </row>
    <row r="12" spans="1:26" ht="12.75">
      <c r="A12" s="42">
        <v>4</v>
      </c>
      <c r="B12" s="42">
        <v>2020</v>
      </c>
      <c r="C12" s="44">
        <v>771635.2433333336</v>
      </c>
      <c r="D12" s="44">
        <v>23149.057300000008</v>
      </c>
      <c r="E12" s="44">
        <v>748486.1860333337</v>
      </c>
      <c r="F12" s="45">
        <v>-0.5833680254319347</v>
      </c>
      <c r="G12" s="42">
        <v>5</v>
      </c>
      <c r="H12" s="42">
        <v>2020</v>
      </c>
      <c r="I12" s="44">
        <v>748486.1860333337</v>
      </c>
      <c r="J12" s="23">
        <f t="shared" si="0"/>
        <v>1852078.790000001</v>
      </c>
      <c r="K12" s="79"/>
      <c r="L12" s="67">
        <f>IF(A12&gt;0,1,0)</f>
        <v>1</v>
      </c>
      <c r="M12" s="64">
        <f>DATE(B12,A12,1)</f>
        <v>43922</v>
      </c>
      <c r="N12" s="60">
        <f t="shared" si="3"/>
        <v>43922</v>
      </c>
      <c r="O12" s="59"/>
      <c r="P12" s="59"/>
      <c r="Q12" s="59"/>
      <c r="R12" s="61">
        <f t="shared" si="4"/>
        <v>0.41663197456806533</v>
      </c>
      <c r="S12" s="62">
        <f t="shared" si="5"/>
        <v>1852078.790000001</v>
      </c>
      <c r="T12" s="59"/>
      <c r="U12" s="59"/>
      <c r="V12" s="59"/>
      <c r="W12" s="59"/>
      <c r="X12" s="43"/>
      <c r="Y12" s="59"/>
      <c r="Z12" s="43"/>
    </row>
    <row r="13" spans="1:26" ht="12.75">
      <c r="A13" s="42">
        <v>5</v>
      </c>
      <c r="B13" s="42">
        <v>2020</v>
      </c>
      <c r="C13" s="44">
        <v>188360.64666666673</v>
      </c>
      <c r="D13" s="44">
        <v>5650.819400000001</v>
      </c>
      <c r="E13" s="44">
        <v>182709.82726666672</v>
      </c>
      <c r="F13" s="45">
        <v>-0.8795602237704023</v>
      </c>
      <c r="G13" s="42">
        <v>6</v>
      </c>
      <c r="H13" s="42">
        <v>2020</v>
      </c>
      <c r="I13" s="44">
        <v>182709.82726666672</v>
      </c>
      <c r="J13" s="23">
        <f t="shared" si="0"/>
        <v>1563940.5233333348</v>
      </c>
      <c r="K13" s="79"/>
      <c r="L13" s="67">
        <f>IF(A13&gt;0,1,0)</f>
        <v>1</v>
      </c>
      <c r="M13" s="64">
        <f>DATE(B13,A13,1)</f>
        <v>43952</v>
      </c>
      <c r="N13" s="60">
        <f t="shared" si="3"/>
        <v>43952</v>
      </c>
      <c r="O13" s="59"/>
      <c r="P13" s="59"/>
      <c r="Q13" s="59"/>
      <c r="R13" s="61">
        <f t="shared" si="4"/>
        <v>0.12043977622959767</v>
      </c>
      <c r="S13" s="62">
        <f>IF(L13=1,C13/R13,0)</f>
        <v>1563940.5233333348</v>
      </c>
      <c r="T13" s="59"/>
      <c r="U13" s="59"/>
      <c r="V13" s="59"/>
      <c r="W13" s="59"/>
      <c r="X13" s="43"/>
      <c r="Y13" s="59"/>
      <c r="Z13" s="43"/>
    </row>
    <row r="14" spans="1:26" ht="12.75">
      <c r="A14" s="42">
        <v>6</v>
      </c>
      <c r="B14" s="42">
        <v>2020</v>
      </c>
      <c r="C14" s="44">
        <v>219134.15666666676</v>
      </c>
      <c r="D14" s="44">
        <v>6574.024700000003</v>
      </c>
      <c r="E14" s="44">
        <v>212560.13196666676</v>
      </c>
      <c r="F14" s="45">
        <v>-0.82335402936154</v>
      </c>
      <c r="G14" s="42">
        <v>7</v>
      </c>
      <c r="H14" s="42">
        <v>2020</v>
      </c>
      <c r="I14" s="44">
        <v>212560.13196666676</v>
      </c>
      <c r="J14" s="23">
        <f t="shared" si="0"/>
        <v>1240527.3433333333</v>
      </c>
      <c r="K14" s="79"/>
      <c r="L14" s="67">
        <f>IF(A14&gt;0,1,0)</f>
        <v>1</v>
      </c>
      <c r="M14" s="64">
        <f>DATE(B14,A14,1)</f>
        <v>43983</v>
      </c>
      <c r="N14" s="60">
        <f t="shared" si="3"/>
        <v>43983</v>
      </c>
      <c r="O14" s="59"/>
      <c r="P14" s="59"/>
      <c r="Q14" s="59"/>
      <c r="R14" s="61">
        <f t="shared" si="4"/>
        <v>0.17664597063846</v>
      </c>
      <c r="S14" s="62">
        <f t="shared" si="5"/>
        <v>1240527.3433333333</v>
      </c>
      <c r="T14" s="59"/>
      <c r="U14" s="59"/>
      <c r="V14" s="59"/>
      <c r="W14" s="59"/>
      <c r="X14" s="43"/>
      <c r="Y14" s="59"/>
      <c r="Z14" s="43"/>
    </row>
    <row r="15" spans="1:26" ht="12.75">
      <c r="A15" s="42">
        <v>7</v>
      </c>
      <c r="B15" s="42">
        <v>2020</v>
      </c>
      <c r="C15" s="44">
        <v>379105.9366666669</v>
      </c>
      <c r="D15" s="44">
        <v>11373.178100000006</v>
      </c>
      <c r="E15" s="44">
        <v>367732.75856666686</v>
      </c>
      <c r="F15" s="45">
        <v>-0.6429610081791945</v>
      </c>
      <c r="G15" s="42">
        <v>8</v>
      </c>
      <c r="H15" s="42">
        <v>2020</v>
      </c>
      <c r="I15" s="44">
        <v>367732.75856666686</v>
      </c>
      <c r="J15" s="23">
        <f t="shared" si="0"/>
        <v>1061805.42</v>
      </c>
      <c r="K15" s="79"/>
      <c r="L15" s="67">
        <f>IF(A15&gt;0,1,0)</f>
        <v>1</v>
      </c>
      <c r="M15" s="64">
        <f>DATE(B15,A15,1)</f>
        <v>44013</v>
      </c>
      <c r="N15" s="60">
        <f t="shared" si="3"/>
        <v>44013</v>
      </c>
      <c r="O15" s="59"/>
      <c r="P15" s="59"/>
      <c r="Q15" s="59"/>
      <c r="R15" s="61">
        <f t="shared" si="4"/>
        <v>0.35703899182080545</v>
      </c>
      <c r="S15" s="62">
        <f t="shared" si="5"/>
        <v>1061805.42</v>
      </c>
      <c r="T15" s="59"/>
      <c r="U15" s="59"/>
      <c r="V15" s="59"/>
      <c r="W15" s="59"/>
      <c r="X15" s="43"/>
      <c r="Y15" s="59"/>
      <c r="Z15" s="43"/>
    </row>
    <row r="16" spans="1:26" ht="12.75">
      <c r="A16" s="42">
        <v>8</v>
      </c>
      <c r="B16" s="42">
        <v>2020</v>
      </c>
      <c r="C16" s="44">
        <v>363484.9066666668</v>
      </c>
      <c r="D16" s="44">
        <v>10904.547200000003</v>
      </c>
      <c r="E16" s="44">
        <v>352580.35946666676</v>
      </c>
      <c r="F16" s="45">
        <v>-0.6676226182236189</v>
      </c>
      <c r="G16" s="42">
        <v>9</v>
      </c>
      <c r="H16" s="42">
        <v>2020</v>
      </c>
      <c r="I16" s="44">
        <v>352580.35946666676</v>
      </c>
      <c r="J16" s="23">
        <f t="shared" si="0"/>
        <v>1093590.9800000002</v>
      </c>
      <c r="K16" s="43"/>
      <c r="L16" s="67">
        <f t="shared" si="1"/>
        <v>1</v>
      </c>
      <c r="M16" s="64">
        <f t="shared" si="2"/>
        <v>44044</v>
      </c>
      <c r="N16" s="60">
        <f t="shared" si="3"/>
        <v>44044</v>
      </c>
      <c r="O16" s="59"/>
      <c r="P16" s="59"/>
      <c r="Q16" s="59"/>
      <c r="R16" s="61">
        <f t="shared" si="4"/>
        <v>0.3323773817763811</v>
      </c>
      <c r="S16" s="62">
        <f t="shared" si="5"/>
        <v>1093590.9800000002</v>
      </c>
      <c r="T16" s="59"/>
      <c r="U16" s="59"/>
      <c r="V16" s="59"/>
      <c r="W16" s="59"/>
      <c r="X16" s="43"/>
      <c r="Y16" s="59"/>
      <c r="Z16" s="43"/>
    </row>
    <row r="17" spans="1:26" ht="12.75">
      <c r="A17" s="42">
        <v>9</v>
      </c>
      <c r="B17" s="42">
        <v>2020</v>
      </c>
      <c r="C17" s="44">
        <v>456025.7600000002</v>
      </c>
      <c r="D17" s="44">
        <v>13680.772800000004</v>
      </c>
      <c r="E17" s="44">
        <v>442344.9872000002</v>
      </c>
      <c r="F17" s="45">
        <v>-0.542869598097715</v>
      </c>
      <c r="G17" s="42">
        <v>10</v>
      </c>
      <c r="H17" s="42">
        <v>2020</v>
      </c>
      <c r="I17" s="44">
        <v>442344.9872000002</v>
      </c>
      <c r="J17" s="23">
        <f t="shared" si="0"/>
        <v>997583.5299999999</v>
      </c>
      <c r="K17" s="43"/>
      <c r="L17" s="67">
        <f t="shared" si="1"/>
        <v>1</v>
      </c>
      <c r="M17" s="64">
        <f t="shared" si="2"/>
        <v>44075</v>
      </c>
      <c r="N17" s="60">
        <f t="shared" si="3"/>
        <v>44075</v>
      </c>
      <c r="O17" s="59"/>
      <c r="P17" s="59"/>
      <c r="Q17" s="59"/>
      <c r="R17" s="61">
        <f t="shared" si="4"/>
        <v>0.45713040190228504</v>
      </c>
      <c r="S17" s="62">
        <f t="shared" si="5"/>
        <v>997583.5299999999</v>
      </c>
      <c r="T17" s="59"/>
      <c r="U17" s="59"/>
      <c r="V17" s="59"/>
      <c r="W17" s="59"/>
      <c r="X17" s="43"/>
      <c r="Y17" s="59"/>
      <c r="Z17" s="43"/>
    </row>
    <row r="18" spans="1:26" ht="12.75">
      <c r="A18" s="7"/>
      <c r="B18" s="7"/>
      <c r="C18" s="8">
        <f>SUM(C6:C17)</f>
        <v>11428085.493333338</v>
      </c>
      <c r="D18" s="8">
        <f>SUM(D6:D17)</f>
        <v>342842.5648000001</v>
      </c>
      <c r="E18" s="8">
        <f>SUM(E6:E17)</f>
        <v>11085242.928533338</v>
      </c>
      <c r="F18" s="9">
        <f>(C18/S18)-1</f>
        <v>-0.28994187077140665</v>
      </c>
      <c r="G18" s="7"/>
      <c r="H18" s="7"/>
      <c r="I18" s="8">
        <f>SUM(I6:I17)</f>
        <v>11085242.928533338</v>
      </c>
      <c r="J18" s="8">
        <f>SUM(J6:J17)</f>
        <v>16094577.363333339</v>
      </c>
      <c r="K18" s="43"/>
      <c r="L18" s="67">
        <f>SUM(L6:L17)</f>
        <v>12</v>
      </c>
      <c r="M18" s="59"/>
      <c r="N18" s="59"/>
      <c r="O18" s="59"/>
      <c r="P18" s="59"/>
      <c r="Q18" s="63">
        <f>(F6+F7+F8+F9+F10+F11+F12+F13+F14+F15+F16+F17)/L18</f>
        <v>-0.30481867903545146</v>
      </c>
      <c r="R18" s="59"/>
      <c r="S18" s="62">
        <f>SUM(S6:S17)</f>
        <v>16094577.363333339</v>
      </c>
      <c r="T18" s="59"/>
      <c r="U18" s="59"/>
      <c r="V18" s="59"/>
      <c r="W18" s="59"/>
      <c r="X18" s="43"/>
      <c r="Y18" s="59"/>
      <c r="Z18" s="43"/>
    </row>
    <row r="19" spans="11:26" ht="12.75">
      <c r="K19" s="43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43"/>
      <c r="Y19" s="59"/>
      <c r="Z19" s="43"/>
    </row>
    <row r="20" spans="2:26" ht="12.75">
      <c r="B20" t="s">
        <v>73</v>
      </c>
      <c r="K20" s="43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43"/>
      <c r="Y20" s="59"/>
      <c r="Z20" s="43"/>
    </row>
    <row r="21" spans="11:26" ht="12.75">
      <c r="K21" s="43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43"/>
      <c r="Y21" s="59"/>
      <c r="Z21" s="43"/>
    </row>
    <row r="22" spans="11:26" ht="12.75">
      <c r="K22" s="43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43"/>
      <c r="Y22" s="59"/>
      <c r="Z22" s="43"/>
    </row>
    <row r="23" spans="11:26" ht="12.75"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43"/>
      <c r="Y23" s="59"/>
      <c r="Z23" s="43"/>
    </row>
    <row r="24" spans="11:26" ht="12.75"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43"/>
      <c r="Y24" s="59"/>
      <c r="Z24" s="43"/>
    </row>
    <row r="25" spans="11:26" ht="12.75">
      <c r="K25" s="88">
        <f>+K6/I6</f>
        <v>0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43"/>
      <c r="Y25" s="59"/>
      <c r="Z25" s="43"/>
    </row>
    <row r="26" spans="11:26" ht="12.75">
      <c r="K26" s="88">
        <f>+K7/I7</f>
        <v>0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43"/>
      <c r="Y26" s="59"/>
      <c r="Z26" s="43"/>
    </row>
    <row r="27" spans="11:26" ht="12.75">
      <c r="K27" s="88">
        <f>+K8/I8</f>
        <v>0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43"/>
      <c r="Y27" s="59"/>
      <c r="Z27" s="43"/>
    </row>
    <row r="28" spans="11:26" ht="12.75"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43"/>
      <c r="Y28" s="43"/>
      <c r="Z28" s="43"/>
    </row>
    <row r="29" spans="11:26" ht="12.75"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43"/>
      <c r="Y29" s="43"/>
      <c r="Z29" s="43"/>
    </row>
    <row r="30" spans="11:26" ht="12.75"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43"/>
      <c r="Y30" s="43"/>
      <c r="Z30" s="43"/>
    </row>
    <row r="31" spans="11:26" ht="12.75"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43"/>
      <c r="Y31" s="43"/>
      <c r="Z31" s="43"/>
    </row>
    <row r="32" spans="11:26" ht="12.75"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43"/>
      <c r="Y32" s="43"/>
      <c r="Z32" s="43"/>
    </row>
    <row r="33" spans="11:26" ht="12.75">
      <c r="K33" s="59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>
      <c r="K34" s="59"/>
    </row>
    <row r="35" ht="12.75">
      <c r="K35" s="59"/>
    </row>
    <row r="36" ht="12.75">
      <c r="K36" s="59"/>
    </row>
    <row r="37" ht="12.75">
      <c r="K37" s="59"/>
    </row>
    <row r="38" ht="12.75">
      <c r="K38" s="59"/>
    </row>
    <row r="39" ht="12.75">
      <c r="K39" s="59"/>
    </row>
    <row r="40" ht="12.75">
      <c r="K40" s="59"/>
    </row>
    <row r="41" ht="12.75">
      <c r="K41" s="43"/>
    </row>
    <row r="42" ht="12.75">
      <c r="K42" s="43"/>
    </row>
    <row r="43" ht="12.75">
      <c r="K43" s="43"/>
    </row>
    <row r="44" ht="12.75">
      <c r="K44" s="43"/>
    </row>
    <row r="45" ht="12.75">
      <c r="K45" s="43"/>
    </row>
    <row r="46" ht="12.75">
      <c r="K46" s="43"/>
    </row>
    <row r="47" ht="12.75">
      <c r="K47" s="43"/>
    </row>
    <row r="48" ht="12.75">
      <c r="K48" s="43"/>
    </row>
    <row r="49" ht="12.75">
      <c r="K49" s="43"/>
    </row>
    <row r="50" ht="12.75">
      <c r="K50" s="43"/>
    </row>
    <row r="51" spans="1:12" ht="12.75">
      <c r="A51" s="3"/>
      <c r="B51" s="3"/>
      <c r="C51" s="3" t="s">
        <v>0</v>
      </c>
      <c r="D51" s="3"/>
      <c r="E51" s="3"/>
      <c r="F51" s="3"/>
      <c r="G51" s="3"/>
      <c r="H51" s="3"/>
      <c r="I51" s="3"/>
      <c r="J51" s="3"/>
      <c r="K51" s="83"/>
      <c r="L51" s="3"/>
    </row>
    <row r="52" spans="1:12" ht="12.75">
      <c r="A52" s="3" t="s">
        <v>67</v>
      </c>
      <c r="B52" s="3"/>
      <c r="C52" s="3"/>
      <c r="D52" s="3"/>
      <c r="E52" s="3"/>
      <c r="F52" s="3"/>
      <c r="G52" s="3"/>
      <c r="H52" s="3"/>
      <c r="I52" s="3"/>
      <c r="J52" s="3"/>
      <c r="K52" s="83"/>
      <c r="L52" s="3"/>
    </row>
    <row r="53" spans="1:12" ht="12.75">
      <c r="A53" s="3" t="s">
        <v>65</v>
      </c>
      <c r="B53" s="3"/>
      <c r="C53" s="3"/>
      <c r="D53" s="3" t="str">
        <f>+B56</f>
        <v>2019-2020</v>
      </c>
      <c r="E53" s="3" t="s">
        <v>64</v>
      </c>
      <c r="F53" s="3"/>
      <c r="G53" s="3"/>
      <c r="H53" s="3"/>
      <c r="I53" s="3"/>
      <c r="J53" s="3"/>
      <c r="K53" s="83"/>
      <c r="L53" s="3"/>
    </row>
    <row r="54" spans="1:11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66</v>
      </c>
      <c r="K54" s="43"/>
    </row>
    <row r="55" spans="1:8" ht="12.75">
      <c r="A55" t="s">
        <v>63</v>
      </c>
      <c r="B55" t="s">
        <v>15</v>
      </c>
      <c r="G55" t="s">
        <v>63</v>
      </c>
      <c r="H55" t="s">
        <v>15</v>
      </c>
    </row>
    <row r="56" spans="1:15" ht="12.75">
      <c r="A56" s="25">
        <v>1</v>
      </c>
      <c r="B56" t="str">
        <f>+C3&amp;"-"&amp;(C3+1)</f>
        <v>2019-2020</v>
      </c>
      <c r="C56" s="26">
        <f>+C6+C7+C8</f>
        <v>3321942.7733333344</v>
      </c>
      <c r="D56" s="26">
        <f>+D6+D7+D8</f>
        <v>99658.28320000003</v>
      </c>
      <c r="E56" s="26">
        <f>+E6+E7+E8</f>
        <v>3222284.490133335</v>
      </c>
      <c r="F56" s="27">
        <f>(F6+F7+F8)/O56</f>
        <v>0.034577073629750266</v>
      </c>
      <c r="G56" s="25">
        <v>1</v>
      </c>
      <c r="H56" s="41" t="str">
        <f>+$B$56</f>
        <v>2019-2020</v>
      </c>
      <c r="I56" s="26">
        <f>+I6+I7+I8</f>
        <v>3222284.490133335</v>
      </c>
      <c r="J56" s="26"/>
      <c r="K56" s="26"/>
      <c r="L56" s="29">
        <f>+L6+L7+L8</f>
        <v>3</v>
      </c>
      <c r="O56" s="28">
        <f>+L6+L7+L8</f>
        <v>3</v>
      </c>
    </row>
    <row r="57" spans="1:15" ht="12.75">
      <c r="A57" s="25">
        <v>2</v>
      </c>
      <c r="B57" s="41" t="str">
        <f>+$B$56</f>
        <v>2019-2020</v>
      </c>
      <c r="C57" s="26">
        <f>+C9+C10+C11</f>
        <v>5728396.070000002</v>
      </c>
      <c r="D57" s="26">
        <f>+D9+D10+D11</f>
        <v>171851.88210000008</v>
      </c>
      <c r="E57" s="26">
        <f>+E9+E10+E11</f>
        <v>5556544.187900003</v>
      </c>
      <c r="F57" s="27">
        <f>(F7+F8+F9)/O57</f>
        <v>0.09853093560190988</v>
      </c>
      <c r="G57" s="25">
        <v>2</v>
      </c>
      <c r="H57" s="41" t="str">
        <f>+$B$56</f>
        <v>2019-2020</v>
      </c>
      <c r="I57" s="26">
        <f>+I9+I10+I11</f>
        <v>5556544.187900003</v>
      </c>
      <c r="J57" s="26"/>
      <c r="K57" s="26"/>
      <c r="L57" s="29">
        <f>+L9+L10+L11</f>
        <v>3</v>
      </c>
      <c r="O57" s="28">
        <v>3</v>
      </c>
    </row>
    <row r="58" spans="1:15" ht="12.75">
      <c r="A58" s="25">
        <v>3</v>
      </c>
      <c r="B58" s="41" t="str">
        <f>+$B$56</f>
        <v>2019-2020</v>
      </c>
      <c r="C58" s="26">
        <f>+C12+C13+C14</f>
        <v>1179130.046666667</v>
      </c>
      <c r="D58" s="26">
        <f>+D12+D13+D14</f>
        <v>35373.90140000001</v>
      </c>
      <c r="E58" s="26">
        <f>+E12+E13+E14</f>
        <v>1143756.145266667</v>
      </c>
      <c r="F58" s="27">
        <f>+F12+F13+F14/O58</f>
        <v>-2.286282278563877</v>
      </c>
      <c r="G58" s="25">
        <v>3</v>
      </c>
      <c r="H58" s="41" t="str">
        <f>+$B$56</f>
        <v>2019-2020</v>
      </c>
      <c r="I58" s="26">
        <f>+I12+I13+I14</f>
        <v>1143756.145266667</v>
      </c>
      <c r="J58" s="26"/>
      <c r="K58" s="26"/>
      <c r="L58" s="29">
        <f>+L12+L13+L14</f>
        <v>3</v>
      </c>
      <c r="O58" s="28">
        <v>1</v>
      </c>
    </row>
    <row r="59" spans="1:15" ht="12.75">
      <c r="A59" s="25">
        <v>4</v>
      </c>
      <c r="B59" s="41" t="str">
        <f>+$B$56</f>
        <v>2019-2020</v>
      </c>
      <c r="C59" s="26">
        <f>+C15+C16+C17</f>
        <v>1198616.603333334</v>
      </c>
      <c r="D59" s="26">
        <f>+D15+D16+D17</f>
        <v>35958.49810000001</v>
      </c>
      <c r="E59" s="26">
        <f>+E15+E16+E17</f>
        <v>1162658.105233334</v>
      </c>
      <c r="F59" s="27">
        <v>0</v>
      </c>
      <c r="G59" s="25">
        <v>4</v>
      </c>
      <c r="H59" s="41" t="str">
        <f>+$B$56</f>
        <v>2019-2020</v>
      </c>
      <c r="I59" s="26">
        <f>+I15+I16+I17</f>
        <v>1162658.105233334</v>
      </c>
      <c r="J59" s="26"/>
      <c r="K59" s="26"/>
      <c r="L59" s="29">
        <f>+L15+L16+L17</f>
        <v>3</v>
      </c>
      <c r="O59" s="28">
        <v>0</v>
      </c>
    </row>
    <row r="60" spans="1:12" ht="12.75">
      <c r="A60" s="4"/>
      <c r="B60" s="4"/>
      <c r="C60" s="5">
        <f>SUM(C48:C59)</f>
        <v>11428085.493333338</v>
      </c>
      <c r="D60" s="5">
        <f>SUM(D48:D59)</f>
        <v>342842.56480000017</v>
      </c>
      <c r="E60" s="5">
        <f>SUM(E48:E59)</f>
        <v>11085242.928533338</v>
      </c>
      <c r="F60" s="6">
        <f>+F18</f>
        <v>-0.28994187077140665</v>
      </c>
      <c r="G60" s="4"/>
      <c r="H60" s="4"/>
      <c r="I60" s="5">
        <f>SUM(I48:I59)</f>
        <v>11085242.928533338</v>
      </c>
      <c r="J60" s="5"/>
      <c r="K60" s="5"/>
      <c r="L60" s="30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94"/>
  <sheetViews>
    <sheetView zoomScalePageLayoutView="0" workbookViewId="0" topLeftCell="A1">
      <selection activeCell="A38" sqref="A38:H38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4.00390625" style="0" customWidth="1"/>
    <col min="9" max="9" width="16.140625" style="0" customWidth="1"/>
    <col min="10" max="10" width="15.57421875" style="0" customWidth="1"/>
    <col min="13" max="13" width="9.28125" style="0" bestFit="1" customWidth="1"/>
    <col min="14" max="14" width="12.140625" style="0" customWidth="1"/>
    <col min="15" max="15" width="10.00390625" style="0" bestFit="1" customWidth="1"/>
    <col min="18" max="18" width="9.421875" style="0" bestFit="1" customWidth="1"/>
    <col min="19" max="19" width="10.421875" style="0" bestFit="1" customWidth="1"/>
  </cols>
  <sheetData>
    <row r="1" spans="1:30" ht="12.75">
      <c r="A1" s="15"/>
      <c r="B1" s="12"/>
      <c r="C1" s="12" t="s">
        <v>40</v>
      </c>
      <c r="D1" s="12"/>
      <c r="E1" s="12"/>
      <c r="F1" s="12"/>
      <c r="G1" s="12"/>
      <c r="H1" s="12"/>
      <c r="I1" s="12"/>
      <c r="J1" s="11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43"/>
      <c r="X1" s="43"/>
      <c r="Y1" s="43"/>
      <c r="Z1" s="43"/>
      <c r="AA1" s="43"/>
      <c r="AB1" s="43"/>
      <c r="AC1" s="59"/>
      <c r="AD1" s="59"/>
    </row>
    <row r="2" spans="1:33" ht="12.75">
      <c r="A2" s="12" t="s">
        <v>53</v>
      </c>
      <c r="B2" s="12"/>
      <c r="C2" s="12" t="s">
        <v>41</v>
      </c>
      <c r="D2" s="12"/>
      <c r="E2" s="12"/>
      <c r="F2" s="12"/>
      <c r="G2" s="12"/>
      <c r="H2" s="12"/>
      <c r="I2" s="12"/>
      <c r="J2" s="11"/>
      <c r="L2" s="59"/>
      <c r="M2" s="59"/>
      <c r="N2" s="59">
        <f>+B6-1</f>
        <v>2018</v>
      </c>
      <c r="O2" s="59" t="s">
        <v>3</v>
      </c>
      <c r="P2" s="59">
        <f>+B6</f>
        <v>2019</v>
      </c>
      <c r="Q2" s="59"/>
      <c r="R2" s="59"/>
      <c r="S2" s="59"/>
      <c r="T2" s="59"/>
      <c r="U2" s="59"/>
      <c r="V2" s="59"/>
      <c r="W2" s="43"/>
      <c r="X2" s="43"/>
      <c r="Y2" s="43"/>
      <c r="Z2" s="43"/>
      <c r="AA2" s="43"/>
      <c r="AB2" s="43"/>
      <c r="AC2" s="59"/>
      <c r="AD2" s="59"/>
      <c r="AE2" s="43"/>
      <c r="AF2" s="43"/>
      <c r="AG2" s="43"/>
    </row>
    <row r="3" spans="1:33" ht="12.75">
      <c r="A3" s="12"/>
      <c r="B3" s="12"/>
      <c r="C3" s="12" t="s">
        <v>26</v>
      </c>
      <c r="D3" s="12">
        <f>+B6</f>
        <v>2019</v>
      </c>
      <c r="E3" s="12" t="s">
        <v>3</v>
      </c>
      <c r="F3" s="12">
        <f>+B6+1</f>
        <v>2020</v>
      </c>
      <c r="G3" s="12"/>
      <c r="H3" s="12"/>
      <c r="I3" s="12"/>
      <c r="J3" s="11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43"/>
      <c r="X3" s="43"/>
      <c r="Y3" s="43"/>
      <c r="Z3" s="43"/>
      <c r="AA3" s="43"/>
      <c r="AB3" s="43"/>
      <c r="AC3" s="59"/>
      <c r="AD3" s="59"/>
      <c r="AE3" s="43"/>
      <c r="AF3" s="43"/>
      <c r="AG3" s="43"/>
    </row>
    <row r="4" spans="1:33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78</v>
      </c>
      <c r="J4" s="80" t="s">
        <v>86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43"/>
      <c r="X4" s="43"/>
      <c r="Y4" s="43"/>
      <c r="Z4" s="43"/>
      <c r="AA4" s="43"/>
      <c r="AB4" s="43"/>
      <c r="AC4" s="59"/>
      <c r="AD4" s="59"/>
      <c r="AE4" s="43"/>
      <c r="AF4" s="43"/>
      <c r="AG4" s="43"/>
    </row>
    <row r="5" spans="1:33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43"/>
      <c r="X5" s="43"/>
      <c r="Y5" s="43"/>
      <c r="Z5" s="43"/>
      <c r="AA5" s="43"/>
      <c r="AB5" s="43"/>
      <c r="AC5" s="59"/>
      <c r="AD5" s="59"/>
      <c r="AE5" s="43"/>
      <c r="AF5" s="43"/>
      <c r="AG5" s="43"/>
    </row>
    <row r="6" spans="1:33" ht="12.75">
      <c r="A6" s="42">
        <v>10</v>
      </c>
      <c r="B6" s="42">
        <v>2019</v>
      </c>
      <c r="C6" s="44">
        <v>515129.38</v>
      </c>
      <c r="D6" s="44">
        <v>15453.8814</v>
      </c>
      <c r="E6" s="44">
        <v>499675.4986</v>
      </c>
      <c r="F6" s="45">
        <v>0.06629933635294183</v>
      </c>
      <c r="G6" s="42">
        <v>11</v>
      </c>
      <c r="H6" s="42">
        <v>2019</v>
      </c>
      <c r="I6" s="44">
        <v>499675.4986</v>
      </c>
      <c r="J6" s="85">
        <f aca="true" t="shared" si="0" ref="J6:J17">+S6</f>
        <v>483100.16</v>
      </c>
      <c r="L6" s="59"/>
      <c r="M6" s="59">
        <f aca="true" t="shared" si="1" ref="M6:M17">IF(A6&gt;0,1,0)</f>
        <v>1</v>
      </c>
      <c r="N6" s="64">
        <f>DATE(B6,A6,1)</f>
        <v>43739</v>
      </c>
      <c r="O6" s="60">
        <f>IF(B6&gt;0,N6," ")</f>
        <v>43739</v>
      </c>
      <c r="P6" s="59"/>
      <c r="Q6" s="59"/>
      <c r="R6" s="61">
        <f>IF(M6=1,(F6+1),0)</f>
        <v>1.0662993363529418</v>
      </c>
      <c r="S6" s="62">
        <f>IF(M6=1,C6/R6,0)</f>
        <v>483100.16</v>
      </c>
      <c r="T6" s="59"/>
      <c r="U6" s="59"/>
      <c r="V6" s="59"/>
      <c r="W6" s="43"/>
      <c r="X6" s="43"/>
      <c r="Y6" s="43"/>
      <c r="Z6" s="43"/>
      <c r="AA6" s="43"/>
      <c r="AB6" s="43"/>
      <c r="AC6" s="59"/>
      <c r="AD6" s="59"/>
      <c r="AE6" s="43"/>
      <c r="AF6" s="43"/>
      <c r="AG6" s="43"/>
    </row>
    <row r="7" spans="1:33" ht="12.75">
      <c r="A7" s="42">
        <v>11</v>
      </c>
      <c r="B7" s="42">
        <v>2019</v>
      </c>
      <c r="C7" s="44">
        <v>722346.6</v>
      </c>
      <c r="D7" s="44">
        <v>21670.397999999997</v>
      </c>
      <c r="E7" s="44">
        <v>700676.2019999999</v>
      </c>
      <c r="F7" s="45">
        <v>0.10163070325333123</v>
      </c>
      <c r="G7" s="42">
        <v>12</v>
      </c>
      <c r="H7" s="42">
        <v>2019</v>
      </c>
      <c r="I7" s="44">
        <v>700676.2019999999</v>
      </c>
      <c r="J7" s="85">
        <f t="shared" si="0"/>
        <v>655706.67</v>
      </c>
      <c r="L7" s="59"/>
      <c r="M7" s="59">
        <f t="shared" si="1"/>
        <v>1</v>
      </c>
      <c r="N7" s="64">
        <f aca="true" t="shared" si="2" ref="N7:N17">DATE(B7,A7,1)</f>
        <v>43770</v>
      </c>
      <c r="O7" s="60">
        <f aca="true" t="shared" si="3" ref="O7:O17">IF(B7&gt;0,N7," ")</f>
        <v>43770</v>
      </c>
      <c r="P7" s="59"/>
      <c r="Q7" s="59"/>
      <c r="R7" s="61">
        <f aca="true" t="shared" si="4" ref="R7:R17">IF(M7=1,(F7+1),0)</f>
        <v>1.1016307032533312</v>
      </c>
      <c r="S7" s="62">
        <f aca="true" t="shared" si="5" ref="S7:S17">IF(M7=1,C7/R7,0)</f>
        <v>655706.67</v>
      </c>
      <c r="T7" s="59"/>
      <c r="U7" s="59"/>
      <c r="V7" s="59"/>
      <c r="W7" s="43"/>
      <c r="X7" s="43"/>
      <c r="Y7" s="43"/>
      <c r="Z7" s="43"/>
      <c r="AA7" s="43"/>
      <c r="AB7" s="43"/>
      <c r="AC7" s="59"/>
      <c r="AD7" s="59"/>
      <c r="AE7" s="43"/>
      <c r="AF7" s="43"/>
      <c r="AG7" s="43"/>
    </row>
    <row r="8" spans="1:33" ht="12.75">
      <c r="A8" s="42">
        <v>12</v>
      </c>
      <c r="B8" s="42">
        <v>2019</v>
      </c>
      <c r="C8" s="44">
        <v>744778.92</v>
      </c>
      <c r="D8" s="44">
        <v>22343.3676</v>
      </c>
      <c r="E8" s="44">
        <v>722435.5524</v>
      </c>
      <c r="F8" s="45">
        <v>0.14898680037828793</v>
      </c>
      <c r="G8" s="42">
        <v>1</v>
      </c>
      <c r="H8" s="42">
        <v>2020</v>
      </c>
      <c r="I8" s="44">
        <v>722435.5524</v>
      </c>
      <c r="J8" s="85">
        <f t="shared" si="0"/>
        <v>648204.94</v>
      </c>
      <c r="L8" s="59"/>
      <c r="M8" s="59">
        <f t="shared" si="1"/>
        <v>1</v>
      </c>
      <c r="N8" s="64">
        <f t="shared" si="2"/>
        <v>43800</v>
      </c>
      <c r="O8" s="60">
        <f t="shared" si="3"/>
        <v>43800</v>
      </c>
      <c r="P8" s="59"/>
      <c r="Q8" s="59"/>
      <c r="R8" s="61">
        <f t="shared" si="4"/>
        <v>1.148986800378288</v>
      </c>
      <c r="S8" s="62">
        <f t="shared" si="5"/>
        <v>648204.94</v>
      </c>
      <c r="T8" s="59"/>
      <c r="U8" s="59"/>
      <c r="V8" s="59"/>
      <c r="W8" s="43"/>
      <c r="X8" s="43"/>
      <c r="Y8" s="43"/>
      <c r="Z8" s="43"/>
      <c r="AA8" s="43"/>
      <c r="AB8" s="43"/>
      <c r="AC8" s="59"/>
      <c r="AD8" s="59"/>
      <c r="AE8" s="43"/>
      <c r="AF8" s="43"/>
      <c r="AG8" s="43"/>
    </row>
    <row r="9" spans="1:33" ht="12.75">
      <c r="A9" s="42">
        <v>1</v>
      </c>
      <c r="B9" s="42">
        <v>2020</v>
      </c>
      <c r="C9" s="44">
        <v>939164.85</v>
      </c>
      <c r="D9" s="44">
        <v>28174.945499999998</v>
      </c>
      <c r="E9" s="44">
        <v>910989.9045</v>
      </c>
      <c r="F9" s="45">
        <v>0.013976634175949298</v>
      </c>
      <c r="G9" s="42">
        <v>2</v>
      </c>
      <c r="H9" s="42">
        <v>2020</v>
      </c>
      <c r="I9" s="44">
        <v>910989.9045</v>
      </c>
      <c r="J9" s="85">
        <f t="shared" si="0"/>
        <v>926219.42</v>
      </c>
      <c r="L9" s="59"/>
      <c r="M9" s="59">
        <f t="shared" si="1"/>
        <v>1</v>
      </c>
      <c r="N9" s="64">
        <f t="shared" si="2"/>
        <v>43831</v>
      </c>
      <c r="O9" s="60">
        <f t="shared" si="3"/>
        <v>43831</v>
      </c>
      <c r="P9" s="59"/>
      <c r="Q9" s="59"/>
      <c r="R9" s="61">
        <f t="shared" si="4"/>
        <v>1.0139766341759493</v>
      </c>
      <c r="S9" s="62">
        <f t="shared" si="5"/>
        <v>926219.42</v>
      </c>
      <c r="T9" s="59"/>
      <c r="U9" s="59"/>
      <c r="V9" s="59"/>
      <c r="W9" s="43"/>
      <c r="X9" s="43"/>
      <c r="Y9" s="43"/>
      <c r="Z9" s="43"/>
      <c r="AA9" s="43"/>
      <c r="AB9" s="43"/>
      <c r="AC9" s="59"/>
      <c r="AD9" s="59"/>
      <c r="AE9" s="43"/>
      <c r="AF9" s="43"/>
      <c r="AG9" s="43"/>
    </row>
    <row r="10" spans="1:33" ht="12.75">
      <c r="A10" s="42">
        <v>2</v>
      </c>
      <c r="B10" s="42">
        <v>2020</v>
      </c>
      <c r="C10" s="44">
        <v>901265.14</v>
      </c>
      <c r="D10" s="44">
        <v>27037.9542</v>
      </c>
      <c r="E10" s="44">
        <v>874227.1858</v>
      </c>
      <c r="F10" s="45">
        <v>0.13866328292998364</v>
      </c>
      <c r="G10" s="42">
        <v>3</v>
      </c>
      <c r="H10" s="42">
        <v>2020</v>
      </c>
      <c r="I10" s="44">
        <v>874227.1858</v>
      </c>
      <c r="J10" s="85">
        <f t="shared" si="0"/>
        <v>791511.55</v>
      </c>
      <c r="L10" s="59"/>
      <c r="M10" s="59">
        <f t="shared" si="1"/>
        <v>1</v>
      </c>
      <c r="N10" s="64">
        <f t="shared" si="2"/>
        <v>43862</v>
      </c>
      <c r="O10" s="60">
        <f t="shared" si="3"/>
        <v>43862</v>
      </c>
      <c r="P10" s="59"/>
      <c r="Q10" s="59"/>
      <c r="R10" s="61">
        <f t="shared" si="4"/>
        <v>1.1386632829299836</v>
      </c>
      <c r="S10" s="62">
        <f t="shared" si="5"/>
        <v>791511.55</v>
      </c>
      <c r="T10" s="59"/>
      <c r="U10" s="59"/>
      <c r="V10" s="59"/>
      <c r="W10" s="43"/>
      <c r="X10" s="43"/>
      <c r="Y10" s="43"/>
      <c r="Z10" s="43"/>
      <c r="AA10" s="43"/>
      <c r="AB10" s="43"/>
      <c r="AC10" s="59"/>
      <c r="AD10" s="59"/>
      <c r="AE10" s="43"/>
      <c r="AF10" s="43"/>
      <c r="AG10" s="43"/>
    </row>
    <row r="11" spans="1:33" ht="12.75">
      <c r="A11" s="42">
        <v>3</v>
      </c>
      <c r="B11" s="42">
        <v>2020</v>
      </c>
      <c r="C11" s="44">
        <v>1024802.78</v>
      </c>
      <c r="D11" s="44">
        <v>30744.0834</v>
      </c>
      <c r="E11" s="44">
        <v>994058.6966</v>
      </c>
      <c r="F11" s="45">
        <v>0.08117021630582988</v>
      </c>
      <c r="G11" s="42">
        <v>4</v>
      </c>
      <c r="H11" s="42">
        <v>2020</v>
      </c>
      <c r="I11" s="44">
        <v>994058.6966</v>
      </c>
      <c r="J11" s="85">
        <f t="shared" si="0"/>
        <v>947864.42</v>
      </c>
      <c r="L11" s="59"/>
      <c r="M11" s="59">
        <f t="shared" si="1"/>
        <v>1</v>
      </c>
      <c r="N11" s="64">
        <f t="shared" si="2"/>
        <v>43891</v>
      </c>
      <c r="O11" s="60">
        <f t="shared" si="3"/>
        <v>43891</v>
      </c>
      <c r="P11" s="59"/>
      <c r="Q11" s="59"/>
      <c r="R11" s="61">
        <f t="shared" si="4"/>
        <v>1.0811702163058299</v>
      </c>
      <c r="S11" s="62">
        <f t="shared" si="5"/>
        <v>947864.42</v>
      </c>
      <c r="T11" s="59"/>
      <c r="U11" s="59"/>
      <c r="V11" s="59"/>
      <c r="W11" s="43"/>
      <c r="X11" s="43"/>
      <c r="Y11" s="43"/>
      <c r="Z11" s="43"/>
      <c r="AA11" s="43"/>
      <c r="AB11" s="43"/>
      <c r="AC11" s="59"/>
      <c r="AD11" s="59"/>
      <c r="AE11" s="43"/>
      <c r="AF11" s="43"/>
      <c r="AG11" s="43"/>
    </row>
    <row r="12" spans="1:33" ht="12.75">
      <c r="A12" s="42">
        <v>4</v>
      </c>
      <c r="B12" s="42">
        <v>2020</v>
      </c>
      <c r="C12" s="44">
        <v>341891.67</v>
      </c>
      <c r="D12" s="44">
        <v>10256.7501</v>
      </c>
      <c r="E12" s="44">
        <v>331634.9199</v>
      </c>
      <c r="F12" s="45">
        <v>-0.6111900324481707</v>
      </c>
      <c r="G12" s="42">
        <v>5</v>
      </c>
      <c r="H12" s="42">
        <v>2020</v>
      </c>
      <c r="I12" s="44">
        <v>331634.9199</v>
      </c>
      <c r="J12" s="85">
        <f t="shared" si="0"/>
        <v>879328.46</v>
      </c>
      <c r="L12" s="59"/>
      <c r="M12" s="59">
        <f t="shared" si="1"/>
        <v>1</v>
      </c>
      <c r="N12" s="64">
        <f t="shared" si="2"/>
        <v>43922</v>
      </c>
      <c r="O12" s="60">
        <f t="shared" si="3"/>
        <v>43922</v>
      </c>
      <c r="P12" s="59"/>
      <c r="Q12" s="59"/>
      <c r="R12" s="61">
        <f t="shared" si="4"/>
        <v>0.3888099675518293</v>
      </c>
      <c r="S12" s="62">
        <f t="shared" si="5"/>
        <v>879328.46</v>
      </c>
      <c r="T12" s="59"/>
      <c r="U12" s="59"/>
      <c r="V12" s="59"/>
      <c r="W12" s="43"/>
      <c r="X12" s="43"/>
      <c r="Y12" s="43"/>
      <c r="Z12" s="43"/>
      <c r="AA12" s="43"/>
      <c r="AB12" s="43"/>
      <c r="AC12" s="59"/>
      <c r="AD12" s="59"/>
      <c r="AE12" s="43"/>
      <c r="AF12" s="43"/>
      <c r="AG12" s="43"/>
    </row>
    <row r="13" spans="1:33" ht="12.75">
      <c r="A13" s="42">
        <v>5</v>
      </c>
      <c r="B13" s="42">
        <v>2020</v>
      </c>
      <c r="C13" s="44">
        <v>96552.13</v>
      </c>
      <c r="D13" s="44">
        <v>2896.5639</v>
      </c>
      <c r="E13" s="44">
        <v>93655.56610000001</v>
      </c>
      <c r="F13" s="45">
        <v>-0.887087730056306</v>
      </c>
      <c r="G13" s="42">
        <v>6</v>
      </c>
      <c r="H13" s="42">
        <v>2020</v>
      </c>
      <c r="I13" s="44">
        <v>93655.5661</v>
      </c>
      <c r="J13" s="85">
        <f t="shared" si="0"/>
        <v>855107.5100000001</v>
      </c>
      <c r="L13" s="59"/>
      <c r="M13" s="59">
        <f t="shared" si="1"/>
        <v>1</v>
      </c>
      <c r="N13" s="64">
        <f t="shared" si="2"/>
        <v>43952</v>
      </c>
      <c r="O13" s="60">
        <f t="shared" si="3"/>
        <v>43952</v>
      </c>
      <c r="P13" s="59"/>
      <c r="Q13" s="59"/>
      <c r="R13" s="61">
        <f t="shared" si="4"/>
        <v>0.11291226994369397</v>
      </c>
      <c r="S13" s="62">
        <f t="shared" si="5"/>
        <v>855107.5100000001</v>
      </c>
      <c r="T13" s="59"/>
      <c r="U13" s="59"/>
      <c r="V13" s="59"/>
      <c r="W13" s="43"/>
      <c r="X13" s="43"/>
      <c r="Y13" s="43"/>
      <c r="Z13" s="43"/>
      <c r="AA13" s="43"/>
      <c r="AB13" s="43"/>
      <c r="AC13" s="59"/>
      <c r="AD13" s="59"/>
      <c r="AE13" s="43"/>
      <c r="AF13" s="43"/>
      <c r="AG13" s="43"/>
    </row>
    <row r="14" spans="1:33" ht="12.75">
      <c r="A14" s="42">
        <v>6</v>
      </c>
      <c r="B14" s="42">
        <v>2020</v>
      </c>
      <c r="C14" s="44">
        <v>44125.3</v>
      </c>
      <c r="D14" s="44">
        <v>1323.759</v>
      </c>
      <c r="E14" s="44">
        <v>42801.541000000005</v>
      </c>
      <c r="F14" s="45">
        <v>-0.9442365684910055</v>
      </c>
      <c r="G14" s="42">
        <v>7</v>
      </c>
      <c r="H14" s="42">
        <v>2020</v>
      </c>
      <c r="I14" s="44">
        <v>42801.541000000005</v>
      </c>
      <c r="J14" s="85">
        <f t="shared" si="0"/>
        <v>791294.5600000005</v>
      </c>
      <c r="L14" s="59"/>
      <c r="M14" s="59">
        <f t="shared" si="1"/>
        <v>1</v>
      </c>
      <c r="N14" s="64">
        <f t="shared" si="2"/>
        <v>43983</v>
      </c>
      <c r="O14" s="60">
        <f t="shared" si="3"/>
        <v>43983</v>
      </c>
      <c r="P14" s="59"/>
      <c r="Q14" s="59"/>
      <c r="R14" s="61">
        <f t="shared" si="4"/>
        <v>0.05576343150899454</v>
      </c>
      <c r="S14" s="62">
        <f t="shared" si="5"/>
        <v>791294.5600000005</v>
      </c>
      <c r="T14" s="59"/>
      <c r="U14" s="59"/>
      <c r="V14" s="59"/>
      <c r="W14" s="43"/>
      <c r="X14" s="43"/>
      <c r="Y14" s="43"/>
      <c r="Z14" s="43"/>
      <c r="AA14" s="43"/>
      <c r="AB14" s="43"/>
      <c r="AC14" s="59"/>
      <c r="AD14" s="59"/>
      <c r="AE14" s="43"/>
      <c r="AF14" s="43"/>
      <c r="AG14" s="43"/>
    </row>
    <row r="15" spans="1:33" ht="12.75">
      <c r="A15" s="42">
        <v>7</v>
      </c>
      <c r="B15" s="42">
        <v>2020</v>
      </c>
      <c r="C15" s="44">
        <v>120484.04</v>
      </c>
      <c r="D15" s="44">
        <v>3614.5211999999997</v>
      </c>
      <c r="E15" s="44">
        <v>116869.51879999999</v>
      </c>
      <c r="F15" s="45">
        <v>-0.808082452455806</v>
      </c>
      <c r="G15" s="42">
        <v>8</v>
      </c>
      <c r="H15" s="42">
        <v>2020</v>
      </c>
      <c r="I15" s="44">
        <v>116869.51879999999</v>
      </c>
      <c r="J15" s="85">
        <f t="shared" si="0"/>
        <v>627790.6400000001</v>
      </c>
      <c r="L15" s="59"/>
      <c r="M15" s="59">
        <f t="shared" si="1"/>
        <v>1</v>
      </c>
      <c r="N15" s="64">
        <f t="shared" si="2"/>
        <v>44013</v>
      </c>
      <c r="O15" s="60">
        <f t="shared" si="3"/>
        <v>44013</v>
      </c>
      <c r="P15" s="59"/>
      <c r="Q15" s="59"/>
      <c r="R15" s="61">
        <f t="shared" si="4"/>
        <v>0.191917547544194</v>
      </c>
      <c r="S15" s="62">
        <f t="shared" si="5"/>
        <v>627790.6400000001</v>
      </c>
      <c r="T15" s="59"/>
      <c r="U15" s="59"/>
      <c r="V15" s="59"/>
      <c r="W15" s="43"/>
      <c r="X15" s="43"/>
      <c r="Y15" s="43"/>
      <c r="Z15" s="43"/>
      <c r="AA15" s="43"/>
      <c r="AB15" s="43"/>
      <c r="AC15" s="59"/>
      <c r="AD15" s="59"/>
      <c r="AE15" s="43"/>
      <c r="AF15" s="43"/>
      <c r="AG15" s="43"/>
    </row>
    <row r="16" spans="1:33" ht="12.75">
      <c r="A16" s="42">
        <v>8</v>
      </c>
      <c r="B16" s="42">
        <v>2020</v>
      </c>
      <c r="C16" s="44">
        <v>120743.15</v>
      </c>
      <c r="D16" s="44">
        <v>3622.2944999999995</v>
      </c>
      <c r="E16" s="44">
        <v>117120.85549999999</v>
      </c>
      <c r="F16" s="45">
        <v>-0.7848641844043218</v>
      </c>
      <c r="G16" s="42">
        <v>9</v>
      </c>
      <c r="H16" s="42">
        <v>2020</v>
      </c>
      <c r="I16" s="44">
        <v>117120.85549999999</v>
      </c>
      <c r="J16" s="85">
        <f t="shared" si="0"/>
        <v>561241.5100000001</v>
      </c>
      <c r="L16" s="59"/>
      <c r="M16" s="59">
        <f t="shared" si="1"/>
        <v>1</v>
      </c>
      <c r="N16" s="64">
        <f t="shared" si="2"/>
        <v>44044</v>
      </c>
      <c r="O16" s="60">
        <f t="shared" si="3"/>
        <v>44044</v>
      </c>
      <c r="P16" s="59"/>
      <c r="Q16" s="59"/>
      <c r="R16" s="61">
        <f t="shared" si="4"/>
        <v>0.21513581559567818</v>
      </c>
      <c r="S16" s="62">
        <f t="shared" si="5"/>
        <v>561241.5100000001</v>
      </c>
      <c r="T16" s="59"/>
      <c r="U16" s="59"/>
      <c r="V16" s="59"/>
      <c r="W16" s="43"/>
      <c r="X16" s="43"/>
      <c r="Y16" s="43"/>
      <c r="Z16" s="43"/>
      <c r="AA16" s="43"/>
      <c r="AB16" s="43"/>
      <c r="AC16" s="59"/>
      <c r="AD16" s="59"/>
      <c r="AE16" s="43"/>
      <c r="AF16" s="43"/>
      <c r="AG16" s="43"/>
    </row>
    <row r="17" spans="1:30" s="43" customFormat="1" ht="12.75">
      <c r="A17" s="42">
        <v>9</v>
      </c>
      <c r="B17" s="42">
        <v>2020</v>
      </c>
      <c r="C17" s="44">
        <v>128918.46</v>
      </c>
      <c r="D17" s="44">
        <v>3867.5538</v>
      </c>
      <c r="E17" s="44">
        <v>125050.90620000001</v>
      </c>
      <c r="F17" s="45">
        <v>-0.7597665421681467</v>
      </c>
      <c r="G17" s="42">
        <v>10</v>
      </c>
      <c r="H17" s="42">
        <v>2020</v>
      </c>
      <c r="I17" s="44">
        <v>125050.9062</v>
      </c>
      <c r="J17" s="85">
        <f t="shared" si="0"/>
        <v>536638.24</v>
      </c>
      <c r="L17" s="59"/>
      <c r="M17" s="59">
        <f t="shared" si="1"/>
        <v>1</v>
      </c>
      <c r="N17" s="64">
        <f t="shared" si="2"/>
        <v>44075</v>
      </c>
      <c r="O17" s="60">
        <f t="shared" si="3"/>
        <v>44075</v>
      </c>
      <c r="P17" s="59"/>
      <c r="Q17" s="59"/>
      <c r="R17" s="61">
        <f t="shared" si="4"/>
        <v>0.24023345783185335</v>
      </c>
      <c r="S17" s="62">
        <f t="shared" si="5"/>
        <v>536638.24</v>
      </c>
      <c r="T17" s="59"/>
      <c r="U17" s="59"/>
      <c r="V17" s="59"/>
      <c r="AC17" s="59"/>
      <c r="AD17" s="59"/>
    </row>
    <row r="18" spans="1:33" ht="12.75">
      <c r="A18" s="16"/>
      <c r="B18" s="16"/>
      <c r="C18" s="17">
        <f>SUM(C6:C17)</f>
        <v>5700202.42</v>
      </c>
      <c r="D18" s="17">
        <f>SUM(D6:D17)</f>
        <v>171006.07259999998</v>
      </c>
      <c r="E18" s="17">
        <f>SUM(E6:E17)</f>
        <v>5529196.3474</v>
      </c>
      <c r="F18" s="18">
        <f>(C18/S18)-1</f>
        <v>-0.3451060284401758</v>
      </c>
      <c r="G18" s="16"/>
      <c r="H18" s="16"/>
      <c r="I18" s="17">
        <f>SUM(I6:I17)</f>
        <v>5529196.3474</v>
      </c>
      <c r="J18" s="17">
        <f>SUM(J6:J17)</f>
        <v>8704008.08</v>
      </c>
      <c r="L18" s="59"/>
      <c r="M18" s="59">
        <f>SUM(M6:M17)</f>
        <v>12</v>
      </c>
      <c r="N18" s="59"/>
      <c r="O18" s="63">
        <f>(F6+F7+F8+F9+F10+F11+F12+F13+F14+F15+F16+F17)/M18</f>
        <v>-0.35370837805228605</v>
      </c>
      <c r="P18" s="59"/>
      <c r="Q18" s="59"/>
      <c r="R18" s="59"/>
      <c r="S18" s="62">
        <f>SUM(S6:S17)</f>
        <v>8704008.08</v>
      </c>
      <c r="T18" s="59"/>
      <c r="U18" s="59"/>
      <c r="V18" s="59"/>
      <c r="W18" s="43"/>
      <c r="X18" s="43"/>
      <c r="Y18" s="43"/>
      <c r="Z18" s="43"/>
      <c r="AA18" s="43"/>
      <c r="AB18" s="43"/>
      <c r="AC18" s="59"/>
      <c r="AD18" s="59"/>
      <c r="AE18" s="43"/>
      <c r="AF18" s="43"/>
      <c r="AG18" s="43"/>
    </row>
    <row r="19" spans="12:33" ht="12.75"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43"/>
      <c r="X19" s="43"/>
      <c r="Y19" s="43"/>
      <c r="Z19" s="43"/>
      <c r="AA19" s="43"/>
      <c r="AB19" s="43"/>
      <c r="AC19" s="59"/>
      <c r="AD19" s="59"/>
      <c r="AE19" s="43"/>
      <c r="AF19" s="43"/>
      <c r="AG19" s="43"/>
    </row>
    <row r="20" spans="12:33" ht="12.75"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43"/>
      <c r="X20" s="43"/>
      <c r="Y20" s="43"/>
      <c r="Z20" s="43"/>
      <c r="AA20" s="43"/>
      <c r="AB20" s="43"/>
      <c r="AC20" s="59"/>
      <c r="AD20" s="59"/>
      <c r="AE20" s="43"/>
      <c r="AF20" s="43"/>
      <c r="AG20" s="43"/>
    </row>
    <row r="21" spans="12:33" ht="12.75"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43"/>
      <c r="X21" s="43"/>
      <c r="Y21" s="43"/>
      <c r="Z21" s="43"/>
      <c r="AA21" s="43"/>
      <c r="AB21" s="43"/>
      <c r="AC21" s="59"/>
      <c r="AD21" s="59"/>
      <c r="AE21" s="43"/>
      <c r="AF21" s="43"/>
      <c r="AG21" s="43"/>
    </row>
    <row r="22" spans="1:33" ht="12.75">
      <c r="A22" s="13"/>
      <c r="B22" s="13"/>
      <c r="C22" s="13" t="s">
        <v>30</v>
      </c>
      <c r="D22" s="13"/>
      <c r="E22" s="13"/>
      <c r="F22" s="13"/>
      <c r="G22" s="13"/>
      <c r="H22" s="13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43"/>
      <c r="X22" s="43"/>
      <c r="Y22" s="43"/>
      <c r="Z22" s="43"/>
      <c r="AA22" s="43"/>
      <c r="AB22" s="43"/>
      <c r="AC22" s="59"/>
      <c r="AD22" s="59"/>
      <c r="AE22" s="43"/>
      <c r="AF22" s="43"/>
      <c r="AG22" s="43"/>
    </row>
    <row r="23" spans="1:33" ht="12.75">
      <c r="A23" s="13"/>
      <c r="B23" s="13"/>
      <c r="C23" s="13" t="s">
        <v>43</v>
      </c>
      <c r="D23" s="13"/>
      <c r="E23" s="13"/>
      <c r="F23" s="13"/>
      <c r="G23" s="13"/>
      <c r="H23" s="13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43"/>
      <c r="X23" s="43"/>
      <c r="Y23" s="43"/>
      <c r="Z23" s="43"/>
      <c r="AA23" s="43"/>
      <c r="AB23" s="43"/>
      <c r="AC23" s="59"/>
      <c r="AD23" s="59"/>
      <c r="AE23" s="43"/>
      <c r="AF23" s="43"/>
      <c r="AG23" s="43"/>
    </row>
    <row r="24" spans="1:33" ht="12.75">
      <c r="A24" s="13"/>
      <c r="B24" s="13"/>
      <c r="C24" s="13" t="s">
        <v>32</v>
      </c>
      <c r="D24" s="13">
        <f>+B27</f>
        <v>2019</v>
      </c>
      <c r="E24" s="13" t="s">
        <v>3</v>
      </c>
      <c r="F24" s="13">
        <f>+B27+1</f>
        <v>2020</v>
      </c>
      <c r="G24" s="13"/>
      <c r="H24" s="13" t="s">
        <v>39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43"/>
      <c r="X24" s="43"/>
      <c r="Y24" s="43"/>
      <c r="Z24" s="43"/>
      <c r="AA24" s="43"/>
      <c r="AB24" s="43"/>
      <c r="AC24" s="59"/>
      <c r="AD24" s="59"/>
      <c r="AE24" s="43"/>
      <c r="AF24" s="43"/>
      <c r="AG24" s="43"/>
    </row>
    <row r="25" spans="1:33" ht="12.75">
      <c r="A25" s="13" t="s">
        <v>33</v>
      </c>
      <c r="B25" s="13" t="s">
        <v>14</v>
      </c>
      <c r="C25" s="13" t="s">
        <v>34</v>
      </c>
      <c r="D25" s="13" t="s">
        <v>35</v>
      </c>
      <c r="E25" s="13" t="s">
        <v>44</v>
      </c>
      <c r="F25" s="13" t="s">
        <v>36</v>
      </c>
      <c r="G25" s="13" t="s">
        <v>84</v>
      </c>
      <c r="H25" s="13" t="s">
        <v>85</v>
      </c>
      <c r="L25" s="59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59"/>
      <c r="AD25" s="59"/>
      <c r="AE25" s="43"/>
      <c r="AF25" s="43"/>
      <c r="AG25" s="43"/>
    </row>
    <row r="26" spans="1:33" ht="12.75">
      <c r="A26" t="s">
        <v>14</v>
      </c>
      <c r="B26" t="s">
        <v>15</v>
      </c>
      <c r="G26" s="44"/>
      <c r="L26" s="59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59"/>
      <c r="AD26" s="59"/>
      <c r="AE26" s="43"/>
      <c r="AF26" s="43"/>
      <c r="AG26" s="43"/>
    </row>
    <row r="27" spans="1:33" ht="12.75">
      <c r="A27" s="42">
        <v>11</v>
      </c>
      <c r="B27" s="42">
        <v>2019</v>
      </c>
      <c r="C27" s="44">
        <v>18438.02589834</v>
      </c>
      <c r="D27" s="44">
        <v>481237.47270166</v>
      </c>
      <c r="E27" s="44">
        <v>8333.333333333334</v>
      </c>
      <c r="F27" s="44">
        <v>472904.1393683267</v>
      </c>
      <c r="G27" s="44">
        <v>499675.4986</v>
      </c>
      <c r="H27" s="23">
        <v>481237.47270166</v>
      </c>
      <c r="L27" s="59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59"/>
      <c r="AD27" s="59"/>
      <c r="AE27" s="43"/>
      <c r="AF27" s="43"/>
      <c r="AG27" s="43"/>
    </row>
    <row r="28" spans="1:33" ht="12.75">
      <c r="A28" s="42">
        <v>12</v>
      </c>
      <c r="B28" s="42">
        <v>2019</v>
      </c>
      <c r="C28" s="44">
        <v>25854.951853799997</v>
      </c>
      <c r="D28" s="44">
        <v>674821.2501462</v>
      </c>
      <c r="E28" s="44">
        <v>8333.333333333334</v>
      </c>
      <c r="F28" s="44">
        <v>666487.9168128666</v>
      </c>
      <c r="G28" s="44">
        <v>700676.2019999999</v>
      </c>
      <c r="H28" s="23">
        <v>674821.2501462</v>
      </c>
      <c r="L28" s="59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59"/>
      <c r="AD28" s="59"/>
      <c r="AE28" s="43"/>
      <c r="AF28" s="43"/>
      <c r="AG28" s="43"/>
    </row>
    <row r="29" spans="1:33" ht="12.75">
      <c r="A29" s="42">
        <v>1</v>
      </c>
      <c r="B29" s="42">
        <v>2020</v>
      </c>
      <c r="C29" s="44">
        <v>26657.871883560005</v>
      </c>
      <c r="D29" s="44">
        <v>695777.6805164401</v>
      </c>
      <c r="E29" s="44">
        <v>8333.333333333334</v>
      </c>
      <c r="F29" s="44">
        <v>687444.3471831067</v>
      </c>
      <c r="G29" s="44">
        <v>722435.5524</v>
      </c>
      <c r="H29" s="23">
        <v>695777.6805164401</v>
      </c>
      <c r="L29" s="59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59"/>
      <c r="AD29" s="59"/>
      <c r="AE29" s="43"/>
      <c r="AF29" s="43"/>
      <c r="AG29" s="43"/>
    </row>
    <row r="30" spans="1:30" ht="12.75">
      <c r="A30" s="42">
        <v>2</v>
      </c>
      <c r="B30" s="42">
        <v>2020</v>
      </c>
      <c r="C30" s="44">
        <v>33615.52747605</v>
      </c>
      <c r="D30" s="44">
        <v>877374.37702395</v>
      </c>
      <c r="E30" s="44">
        <v>8333.333333333334</v>
      </c>
      <c r="F30" s="44">
        <v>869041.0436906166</v>
      </c>
      <c r="G30" s="44">
        <v>910989.9045</v>
      </c>
      <c r="H30" s="23">
        <v>877374.37702395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1:30" ht="12.75">
      <c r="A31" s="42">
        <v>3</v>
      </c>
      <c r="B31" s="42">
        <v>2020</v>
      </c>
      <c r="C31" s="44">
        <v>32258.98315602</v>
      </c>
      <c r="D31" s="44">
        <v>841968.2026439799</v>
      </c>
      <c r="E31" s="44">
        <v>8333.333333333334</v>
      </c>
      <c r="F31" s="44">
        <v>833634.8693106466</v>
      </c>
      <c r="G31" s="44">
        <v>874227.1858</v>
      </c>
      <c r="H31" s="23">
        <v>841968.2026439799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8" ht="12.75">
      <c r="A32" s="42">
        <v>4</v>
      </c>
      <c r="B32" s="42">
        <v>2020</v>
      </c>
      <c r="C32" s="44">
        <v>36680.76590454</v>
      </c>
      <c r="D32" s="44">
        <v>957377.9306954601</v>
      </c>
      <c r="E32" s="44">
        <v>8333.333333333334</v>
      </c>
      <c r="F32" s="44">
        <v>949044.5973621267</v>
      </c>
      <c r="G32" s="44">
        <v>994058.6966</v>
      </c>
      <c r="H32" s="23">
        <v>957377.9306954601</v>
      </c>
    </row>
    <row r="33" spans="1:8" ht="12.75">
      <c r="A33" s="42">
        <v>5</v>
      </c>
      <c r="B33" s="42">
        <v>2020</v>
      </c>
      <c r="C33" s="44">
        <v>12237.32854431</v>
      </c>
      <c r="D33" s="44">
        <v>319397.59135569</v>
      </c>
      <c r="E33" s="44">
        <v>8333.333333333334</v>
      </c>
      <c r="F33" s="44">
        <v>311064.25802235666</v>
      </c>
      <c r="G33" s="44">
        <v>331634.9199</v>
      </c>
      <c r="H33" s="23">
        <v>319397.59135569</v>
      </c>
    </row>
    <row r="34" spans="1:8" ht="12.75">
      <c r="A34" s="42">
        <v>6</v>
      </c>
      <c r="B34" s="42">
        <v>2020</v>
      </c>
      <c r="C34" s="44">
        <v>3455.89038909</v>
      </c>
      <c r="D34" s="44">
        <v>90199.67571091</v>
      </c>
      <c r="E34" s="44">
        <v>8333.333333333334</v>
      </c>
      <c r="F34" s="44">
        <v>81866.34237757667</v>
      </c>
      <c r="G34" s="44">
        <v>93655.5661</v>
      </c>
      <c r="H34" s="23">
        <v>90199.67571091</v>
      </c>
    </row>
    <row r="35" spans="1:8" ht="12.75">
      <c r="A35" s="42">
        <v>7</v>
      </c>
      <c r="B35" s="42">
        <v>2020</v>
      </c>
      <c r="C35" s="44">
        <v>1579.3768629000003</v>
      </c>
      <c r="D35" s="44">
        <v>41222.16413710001</v>
      </c>
      <c r="E35" s="44">
        <v>8333.333333333334</v>
      </c>
      <c r="F35" s="44">
        <v>32888.83080376667</v>
      </c>
      <c r="G35" s="44">
        <v>42801.541000000005</v>
      </c>
      <c r="H35" s="23">
        <v>41222.16413710001</v>
      </c>
    </row>
    <row r="36" spans="1:8" ht="12.75">
      <c r="A36" s="42">
        <v>8</v>
      </c>
      <c r="B36" s="42">
        <v>2020</v>
      </c>
      <c r="C36" s="44">
        <v>4312.48524372</v>
      </c>
      <c r="D36" s="44">
        <v>112557.03355627999</v>
      </c>
      <c r="E36" s="44">
        <v>8333.333333333334</v>
      </c>
      <c r="F36" s="44">
        <v>104223.70022294666</v>
      </c>
      <c r="G36" s="44">
        <v>116869.51879999999</v>
      </c>
      <c r="H36" s="23">
        <v>112557.03355627999</v>
      </c>
    </row>
    <row r="37" spans="1:8" ht="12.75">
      <c r="A37" s="42">
        <v>9</v>
      </c>
      <c r="B37" s="42">
        <v>2020</v>
      </c>
      <c r="C37" s="44">
        <v>4321.75956795</v>
      </c>
      <c r="D37" s="44">
        <v>112799.09593205</v>
      </c>
      <c r="E37" s="44">
        <v>8333.333333333334</v>
      </c>
      <c r="F37" s="44">
        <v>104465.76259871667</v>
      </c>
      <c r="G37" s="44">
        <v>117120.85549999999</v>
      </c>
      <c r="H37" s="23">
        <v>112799.09593205</v>
      </c>
    </row>
    <row r="38" spans="1:8" ht="12.75">
      <c r="A38" s="42">
        <v>10</v>
      </c>
      <c r="B38" s="42">
        <v>2020</v>
      </c>
      <c r="C38" s="44">
        <v>4614.378438780001</v>
      </c>
      <c r="D38" s="44">
        <v>120436.52776122</v>
      </c>
      <c r="E38" s="44">
        <v>8333.333333333334</v>
      </c>
      <c r="F38" s="44">
        <v>112103.19442788667</v>
      </c>
      <c r="G38" s="44">
        <v>125050.9062</v>
      </c>
      <c r="H38" s="23">
        <v>120436.52776122</v>
      </c>
    </row>
    <row r="39" spans="1:8" ht="12.75">
      <c r="A39" s="13"/>
      <c r="B39" s="13"/>
      <c r="C39" s="14">
        <f aca="true" t="shared" si="6" ref="C39:H39">SUM(C27:C38)</f>
        <v>204027.34521906002</v>
      </c>
      <c r="D39" s="14">
        <f t="shared" si="6"/>
        <v>5325169.002180939</v>
      </c>
      <c r="E39" s="14">
        <f t="shared" si="6"/>
        <v>99999.99999999999</v>
      </c>
      <c r="F39" s="14">
        <f t="shared" si="6"/>
        <v>5225169.0021809405</v>
      </c>
      <c r="G39" s="14">
        <f t="shared" si="6"/>
        <v>5529196.3474</v>
      </c>
      <c r="H39" s="14">
        <f t="shared" si="6"/>
        <v>5325169.002180939</v>
      </c>
    </row>
    <row r="71" spans="1:9" ht="12.75">
      <c r="A71" s="15"/>
      <c r="B71" s="12"/>
      <c r="C71" s="12" t="s">
        <v>40</v>
      </c>
      <c r="D71" s="12"/>
      <c r="E71" s="12"/>
      <c r="F71" s="12"/>
      <c r="G71" s="12"/>
      <c r="H71" s="12"/>
      <c r="I71" s="12"/>
    </row>
    <row r="72" spans="1:9" ht="12.75">
      <c r="A72" s="12" t="s">
        <v>53</v>
      </c>
      <c r="B72" s="12"/>
      <c r="C72" s="12" t="s">
        <v>41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2019</v>
      </c>
      <c r="E73" s="12" t="s">
        <v>3</v>
      </c>
      <c r="F73" s="12">
        <f>+B6+1</f>
        <v>2020</v>
      </c>
      <c r="G73" s="12"/>
      <c r="H73" s="12"/>
      <c r="I73" s="12"/>
    </row>
    <row r="74" spans="1:9" ht="12.75">
      <c r="A74" s="12" t="s">
        <v>63</v>
      </c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42</v>
      </c>
    </row>
    <row r="75" spans="1:9" ht="12.75">
      <c r="A75" s="12"/>
      <c r="B75" s="12" t="s">
        <v>15</v>
      </c>
      <c r="C75" s="12"/>
      <c r="D75" s="12"/>
      <c r="E75" s="12"/>
      <c r="F75" s="12"/>
      <c r="G75" s="12" t="s">
        <v>68</v>
      </c>
      <c r="H75" s="12"/>
      <c r="I75" s="12"/>
    </row>
    <row r="76" spans="1:13" ht="12.75">
      <c r="A76">
        <v>1</v>
      </c>
      <c r="B76" t="str">
        <f>+D3&amp;"-"&amp;(D3+1)</f>
        <v>2019-2020</v>
      </c>
      <c r="C76" s="23">
        <f>+C6+C7+C8</f>
        <v>1982254.9</v>
      </c>
      <c r="D76" s="23">
        <f>+D6+D7+D8</f>
        <v>59467.647</v>
      </c>
      <c r="E76" s="23">
        <f>+E6+E7+E8</f>
        <v>1922787.253</v>
      </c>
      <c r="F76" s="31">
        <f>(F6+F7+F8)/M76</f>
        <v>0.10563894666152034</v>
      </c>
      <c r="G76">
        <f aca="true" t="shared" si="7" ref="G76:H79">+A76</f>
        <v>1</v>
      </c>
      <c r="H76" t="str">
        <f t="shared" si="7"/>
        <v>2019-2020</v>
      </c>
      <c r="I76" s="23">
        <f>+I6+I7+I8</f>
        <v>1922787.253</v>
      </c>
      <c r="M76">
        <f>+M6+M7+M8</f>
        <v>3</v>
      </c>
    </row>
    <row r="77" spans="1:13" ht="12.75">
      <c r="A77">
        <v>2</v>
      </c>
      <c r="B77" t="str">
        <f>+B76</f>
        <v>2019-2020</v>
      </c>
      <c r="C77" s="23">
        <f>+C9+C10+C11</f>
        <v>2865232.77</v>
      </c>
      <c r="D77" s="23">
        <f>+D9+D10+D11</f>
        <v>85956.9831</v>
      </c>
      <c r="E77" s="23">
        <f>+E9+E10+E11</f>
        <v>2779275.7868999997</v>
      </c>
      <c r="F77" s="31">
        <f>(F9+F10+F11)/M77</f>
        <v>0.07793671113725427</v>
      </c>
      <c r="G77">
        <f t="shared" si="7"/>
        <v>2</v>
      </c>
      <c r="H77" t="str">
        <f t="shared" si="7"/>
        <v>2019-2020</v>
      </c>
      <c r="I77" s="1">
        <f>+I9+I10+I11</f>
        <v>2779275.7868999997</v>
      </c>
      <c r="M77">
        <f>+M9+M10+M11</f>
        <v>3</v>
      </c>
    </row>
    <row r="78" spans="1:13" ht="12.75">
      <c r="A78">
        <v>3</v>
      </c>
      <c r="B78" t="str">
        <f>+B76</f>
        <v>2019-2020</v>
      </c>
      <c r="C78" s="23">
        <f>+C12+C13+C14</f>
        <v>482569.1</v>
      </c>
      <c r="D78" s="23">
        <f>+D12+D13+D14</f>
        <v>14477.072999999999</v>
      </c>
      <c r="E78" s="23">
        <f>+E12+E13+E14</f>
        <v>468092.027</v>
      </c>
      <c r="F78" s="31">
        <f>(F12+F13+F14)/M78</f>
        <v>-0.8141714436651607</v>
      </c>
      <c r="G78">
        <f t="shared" si="7"/>
        <v>3</v>
      </c>
      <c r="H78" t="str">
        <f t="shared" si="7"/>
        <v>2019-2020</v>
      </c>
      <c r="I78" s="23">
        <f>+I12+I13+I14</f>
        <v>468092.027</v>
      </c>
      <c r="M78">
        <f>+M12+M13+M14</f>
        <v>3</v>
      </c>
    </row>
    <row r="79" spans="1:13" ht="12.75">
      <c r="A79">
        <v>4</v>
      </c>
      <c r="B79" t="str">
        <f>+B76</f>
        <v>2019-2020</v>
      </c>
      <c r="C79" s="47">
        <f>+C15+C16+C17</f>
        <v>370145.65</v>
      </c>
      <c r="D79" s="47">
        <f>+D15+D16+D17</f>
        <v>11104.369499999999</v>
      </c>
      <c r="E79" s="47">
        <f>+E15+E16+E17</f>
        <v>359041.2805</v>
      </c>
      <c r="F79" s="31"/>
      <c r="G79">
        <f t="shared" si="7"/>
        <v>4</v>
      </c>
      <c r="H79" t="str">
        <f t="shared" si="7"/>
        <v>2019-2020</v>
      </c>
      <c r="I79" s="1">
        <f>+I11+I12+I13</f>
        <v>1419349.1826</v>
      </c>
      <c r="M79">
        <f>+M15+M16+M17</f>
        <v>3</v>
      </c>
    </row>
    <row r="80" spans="1:9" ht="12.75">
      <c r="A80" s="12" t="s">
        <v>70</v>
      </c>
      <c r="B80" s="12"/>
      <c r="C80" s="35">
        <f>SUM(C76:C79)</f>
        <v>5700202.42</v>
      </c>
      <c r="D80" s="35">
        <f>SUM(D76:D79)</f>
        <v>171006.0726</v>
      </c>
      <c r="E80" s="35">
        <f>SUM(E76:E79)</f>
        <v>5529196.347399999</v>
      </c>
      <c r="F80" s="36">
        <f>+F18</f>
        <v>-0.3451060284401758</v>
      </c>
      <c r="G80" s="12"/>
      <c r="H80" s="12"/>
      <c r="I80" s="35">
        <f>SUM(I76:I79)</f>
        <v>6589504.249499999</v>
      </c>
    </row>
    <row r="85" spans="1:7" ht="12.75">
      <c r="A85" s="13"/>
      <c r="B85" s="13"/>
      <c r="C85" s="13" t="s">
        <v>30</v>
      </c>
      <c r="D85" s="13"/>
      <c r="E85" s="13"/>
      <c r="F85" s="13"/>
      <c r="G85" s="13"/>
    </row>
    <row r="86" spans="1:7" ht="12.75">
      <c r="A86" s="13"/>
      <c r="B86" s="13"/>
      <c r="C86" s="13" t="s">
        <v>43</v>
      </c>
      <c r="D86" s="13"/>
      <c r="E86" s="13"/>
      <c r="F86" s="13"/>
      <c r="G86" s="13"/>
    </row>
    <row r="87" spans="1:7" ht="12.75">
      <c r="A87" s="13"/>
      <c r="B87" s="13"/>
      <c r="C87" s="13" t="s">
        <v>32</v>
      </c>
      <c r="D87" s="13">
        <f>+B6</f>
        <v>2019</v>
      </c>
      <c r="E87" s="13" t="s">
        <v>3</v>
      </c>
      <c r="F87" s="13">
        <f>+B6+1</f>
        <v>2020</v>
      </c>
      <c r="G87" s="13"/>
    </row>
    <row r="88" spans="1:7" ht="12.75">
      <c r="A88" s="13" t="s">
        <v>63</v>
      </c>
      <c r="B88" s="13" t="s">
        <v>14</v>
      </c>
      <c r="C88" s="13" t="s">
        <v>34</v>
      </c>
      <c r="D88" s="13" t="s">
        <v>35</v>
      </c>
      <c r="E88" s="13" t="s">
        <v>44</v>
      </c>
      <c r="F88" s="13" t="s">
        <v>36</v>
      </c>
      <c r="G88" s="13" t="s">
        <v>39</v>
      </c>
    </row>
    <row r="89" spans="2:7" ht="12.75">
      <c r="B89" t="s">
        <v>15</v>
      </c>
      <c r="C89" s="24"/>
      <c r="D89" s="24"/>
      <c r="E89" s="24"/>
      <c r="F89" s="24"/>
      <c r="G89" s="24"/>
    </row>
    <row r="90" spans="1:7" ht="12.75">
      <c r="A90">
        <v>1</v>
      </c>
      <c r="B90" s="23" t="str">
        <f>+B76</f>
        <v>2019-2020</v>
      </c>
      <c r="C90" s="37">
        <f>+C27+C28+C29</f>
        <v>70950.8496357</v>
      </c>
      <c r="D90" s="37">
        <f>+D27+D28+D29</f>
        <v>1851836.4033642998</v>
      </c>
      <c r="E90" s="37">
        <f>+E27+E28+E29</f>
        <v>25000</v>
      </c>
      <c r="F90" s="37">
        <f>+F27+F28+F29</f>
        <v>1826836.4033643</v>
      </c>
      <c r="G90" s="37">
        <f>+G27+G28+G29</f>
        <v>1922787.253</v>
      </c>
    </row>
    <row r="91" spans="1:7" ht="12.75">
      <c r="A91">
        <v>2</v>
      </c>
      <c r="B91" t="str">
        <f>+B90</f>
        <v>2019-2020</v>
      </c>
      <c r="C91" s="37">
        <f>+C30+C31+C32</f>
        <v>102555.27653661</v>
      </c>
      <c r="D91" s="37">
        <f>+D30+D31+D32</f>
        <v>2676720.51036339</v>
      </c>
      <c r="E91" s="37">
        <f>+E30+E31+E32</f>
        <v>25000</v>
      </c>
      <c r="F91" s="37">
        <f>+F30+F31+F32</f>
        <v>2651720.5103633897</v>
      </c>
      <c r="G91" s="37">
        <f>+G30+G31+G32</f>
        <v>2779275.7868999997</v>
      </c>
    </row>
    <row r="92" spans="1:7" ht="12.75">
      <c r="A92">
        <v>3</v>
      </c>
      <c r="B92" t="str">
        <f>+B90</f>
        <v>2019-2020</v>
      </c>
      <c r="C92" s="37">
        <f>+C33+C34+C35</f>
        <v>17272.5957963</v>
      </c>
      <c r="D92" s="37">
        <f>+D33+D34+D35</f>
        <v>450819.43120369996</v>
      </c>
      <c r="E92" s="37">
        <f>+E33+E34+E35</f>
        <v>25000</v>
      </c>
      <c r="F92" s="37">
        <f>+F33+F34+F35</f>
        <v>425819.4312037</v>
      </c>
      <c r="G92" s="37">
        <f>+G33+G34+G35</f>
        <v>468092.027</v>
      </c>
    </row>
    <row r="93" spans="1:7" ht="12.75">
      <c r="A93">
        <v>4</v>
      </c>
      <c r="B93" t="str">
        <f>+B90</f>
        <v>2019-2020</v>
      </c>
      <c r="C93" s="37">
        <f>+C36+C37+C38</f>
        <v>13248.62325045</v>
      </c>
      <c r="D93" s="37">
        <f>+D36+D37+D38</f>
        <v>345792.65724955</v>
      </c>
      <c r="E93" s="37">
        <f>+E36+E37+E38</f>
        <v>25000</v>
      </c>
      <c r="F93" s="37">
        <f>+F36+F37+F38</f>
        <v>320792.65724955</v>
      </c>
      <c r="G93" s="37">
        <f>+G36+G37+G38</f>
        <v>359041.2805</v>
      </c>
    </row>
    <row r="94" spans="1:7" ht="12.75">
      <c r="A94" s="12" t="s">
        <v>70</v>
      </c>
      <c r="B94" s="12"/>
      <c r="C94" s="35">
        <f>SUM(C90:C93)</f>
        <v>204027.34521906002</v>
      </c>
      <c r="D94" s="35">
        <f>SUM(D90:D93)</f>
        <v>5325169.00218094</v>
      </c>
      <c r="E94" s="35">
        <f>SUM(E90:E93)</f>
        <v>100000</v>
      </c>
      <c r="F94" s="35">
        <f>SUM(F90:F93)</f>
        <v>5225169.00218094</v>
      </c>
      <c r="G94" s="35">
        <f>SUM(G90:G93)</f>
        <v>5529196.347399999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33.8515625" style="0" customWidth="1"/>
    <col min="4" max="4" width="16.7109375" style="0" bestFit="1" customWidth="1"/>
    <col min="5" max="5" width="19.57421875" style="0" customWidth="1"/>
    <col min="6" max="6" width="18.28125" style="59" customWidth="1"/>
    <col min="7" max="7" width="9.140625" style="59" customWidth="1"/>
    <col min="8" max="8" width="20.28125" style="59" customWidth="1"/>
    <col min="9" max="9" width="16.00390625" style="59" customWidth="1"/>
    <col min="10" max="10" width="17.140625" style="59" bestFit="1" customWidth="1"/>
    <col min="11" max="11" width="12.7109375" style="59" bestFit="1" customWidth="1"/>
    <col min="12" max="12" width="12.8515625" style="59" bestFit="1" customWidth="1"/>
    <col min="13" max="13" width="9.140625" style="59" customWidth="1"/>
    <col min="14" max="14" width="15.421875" style="59" customWidth="1"/>
    <col min="15" max="15" width="9.57421875" style="59" bestFit="1" customWidth="1"/>
    <col min="16" max="16" width="10.140625" style="59" bestFit="1" customWidth="1"/>
    <col min="17" max="19" width="9.140625" style="59" customWidth="1"/>
  </cols>
  <sheetData>
    <row r="1" spans="1:34" ht="12.75">
      <c r="A1" s="13"/>
      <c r="B1" s="13"/>
      <c r="C1" s="13" t="s">
        <v>74</v>
      </c>
      <c r="D1" s="13"/>
      <c r="E1" s="13"/>
      <c r="F1" s="43"/>
      <c r="G1" s="43"/>
      <c r="T1" s="43"/>
      <c r="U1" s="43"/>
      <c r="V1" s="43"/>
      <c r="W1" s="59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2.75">
      <c r="A2" s="13"/>
      <c r="B2" s="13"/>
      <c r="C2" s="13" t="s">
        <v>75</v>
      </c>
      <c r="D2" s="13"/>
      <c r="E2" s="13"/>
      <c r="F2" s="43"/>
      <c r="G2" s="43"/>
      <c r="T2" s="43"/>
      <c r="U2" s="43"/>
      <c r="V2" s="43"/>
      <c r="W2" s="59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12.75">
      <c r="A3" s="13"/>
      <c r="B3" s="13"/>
      <c r="C3" s="13" t="s">
        <v>76</v>
      </c>
      <c r="D3" s="13"/>
      <c r="E3" s="13"/>
      <c r="F3" s="43"/>
      <c r="G3" s="43"/>
      <c r="T3" s="43"/>
      <c r="U3" s="43"/>
      <c r="V3" s="43"/>
      <c r="W3" s="59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ht="12.75">
      <c r="A4" s="13"/>
      <c r="B4" s="13"/>
      <c r="C4" s="13" t="str">
        <f>+B6&amp;"-"&amp;B6+1</f>
        <v>2019-2020</v>
      </c>
      <c r="D4" s="13"/>
      <c r="E4" s="13"/>
      <c r="F4" s="43"/>
      <c r="G4" s="43"/>
      <c r="J4" s="97" t="str">
        <f>+B6-1&amp;"-"&amp;B6</f>
        <v>2018-2019</v>
      </c>
      <c r="T4" s="43"/>
      <c r="U4" s="43"/>
      <c r="V4" s="43"/>
      <c r="W4" s="59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ht="12.75">
      <c r="A5" s="13" t="s">
        <v>4</v>
      </c>
      <c r="B5" s="13" t="s">
        <v>14</v>
      </c>
      <c r="C5" s="13" t="s">
        <v>19</v>
      </c>
      <c r="D5" s="13" t="s">
        <v>21</v>
      </c>
      <c r="E5" s="87" t="s">
        <v>86</v>
      </c>
      <c r="F5" s="43"/>
      <c r="G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2.75">
      <c r="A6" s="84">
        <v>10</v>
      </c>
      <c r="B6" s="42">
        <v>2019</v>
      </c>
      <c r="C6" s="26">
        <v>316746.87</v>
      </c>
      <c r="D6" s="2">
        <f aca="true" t="shared" si="0" ref="D6:D17">+(C6/I6)-1</f>
        <v>0.030768625481594203</v>
      </c>
      <c r="E6" s="75">
        <f aca="true" t="shared" si="1" ref="E6:E17">+J6</f>
        <v>307291.92</v>
      </c>
      <c r="F6" s="78"/>
      <c r="G6" s="43"/>
      <c r="H6" s="59">
        <v>316746.87</v>
      </c>
      <c r="I6" s="89">
        <v>307291.92</v>
      </c>
      <c r="J6" s="90">
        <f aca="true" t="shared" si="2" ref="J6:J17">+IF(O6=1,I6,"")</f>
        <v>307291.92</v>
      </c>
      <c r="N6" s="89">
        <v>307291.92</v>
      </c>
      <c r="O6" s="59">
        <f>IF(A6&gt;0,1,0)</f>
        <v>1</v>
      </c>
      <c r="P6" s="60">
        <f>IF(O6=1,DATE(B6,A6,1),"")</f>
        <v>43739</v>
      </c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2.75">
      <c r="A7" s="56">
        <v>11</v>
      </c>
      <c r="B7" s="56">
        <v>2019</v>
      </c>
      <c r="C7" s="78">
        <v>320202.41000000003</v>
      </c>
      <c r="D7" s="91">
        <f t="shared" si="0"/>
        <v>0.05296516309722299</v>
      </c>
      <c r="E7" s="75">
        <f t="shared" si="1"/>
        <v>304095.92</v>
      </c>
      <c r="F7" s="78"/>
      <c r="G7" s="43"/>
      <c r="H7" s="59">
        <v>320202.41000000003</v>
      </c>
      <c r="I7" s="89">
        <v>304095.92</v>
      </c>
      <c r="J7" s="90">
        <f t="shared" si="2"/>
        <v>304095.92</v>
      </c>
      <c r="N7" s="89">
        <f>77966.91+121074.07+105054.94</f>
        <v>304095.92000000004</v>
      </c>
      <c r="O7" s="59">
        <f aca="true" t="shared" si="3" ref="O7:O17">IF(A7&gt;0,1,0)</f>
        <v>1</v>
      </c>
      <c r="P7" s="60">
        <f aca="true" t="shared" si="4" ref="P7:P17">IF(O7=1,DATE(B7,A7,1),"")</f>
        <v>43770</v>
      </c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12.75">
      <c r="A8" s="56">
        <v>12</v>
      </c>
      <c r="B8" s="56">
        <v>2019</v>
      </c>
      <c r="C8" s="78">
        <v>321863.6</v>
      </c>
      <c r="D8" s="91">
        <f t="shared" si="0"/>
        <v>0.052881602259433835</v>
      </c>
      <c r="E8" s="75">
        <f t="shared" si="1"/>
        <v>305697.81</v>
      </c>
      <c r="F8" s="78"/>
      <c r="G8" s="43"/>
      <c r="H8" s="59">
        <v>321863.6</v>
      </c>
      <c r="I8" s="89">
        <v>305697.81</v>
      </c>
      <c r="J8" s="90">
        <f t="shared" si="2"/>
        <v>305697.81</v>
      </c>
      <c r="N8" s="89">
        <v>305697.81</v>
      </c>
      <c r="O8" s="59">
        <f>IF(A8&gt;0,1,0)</f>
        <v>1</v>
      </c>
      <c r="P8" s="60">
        <f>IF(O8=1,DATE(B8,A8,1),"")</f>
        <v>43800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12.75">
      <c r="A9" s="56">
        <v>1</v>
      </c>
      <c r="B9" s="56">
        <v>2020</v>
      </c>
      <c r="C9" s="78">
        <v>328107.11</v>
      </c>
      <c r="D9" s="91">
        <f t="shared" si="0"/>
        <v>0.044956087794664645</v>
      </c>
      <c r="E9" s="75">
        <f t="shared" si="1"/>
        <v>313991.29</v>
      </c>
      <c r="F9" s="78"/>
      <c r="G9" s="43"/>
      <c r="H9" s="59">
        <v>328107.11</v>
      </c>
      <c r="I9" s="89">
        <v>313991.29</v>
      </c>
      <c r="J9" s="90">
        <f t="shared" si="2"/>
        <v>313991.29</v>
      </c>
      <c r="N9" s="89">
        <v>313991.29</v>
      </c>
      <c r="O9" s="59">
        <f t="shared" si="3"/>
        <v>1</v>
      </c>
      <c r="P9" s="60">
        <f t="shared" si="4"/>
        <v>43831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2.75">
      <c r="A10" s="56">
        <v>2</v>
      </c>
      <c r="B10" s="56">
        <v>2020</v>
      </c>
      <c r="C10" s="78">
        <v>338592.67</v>
      </c>
      <c r="D10" s="91">
        <f t="shared" si="0"/>
        <v>0.08228957466633213</v>
      </c>
      <c r="E10" s="75">
        <f t="shared" si="1"/>
        <v>312848.5</v>
      </c>
      <c r="F10" s="75"/>
      <c r="G10" s="43"/>
      <c r="H10" s="59">
        <v>338592.67</v>
      </c>
      <c r="I10" s="89">
        <v>312848.5</v>
      </c>
      <c r="J10" s="90">
        <f t="shared" si="2"/>
        <v>312848.5</v>
      </c>
      <c r="N10" s="89">
        <v>312848.5</v>
      </c>
      <c r="O10" s="59">
        <f>IF(A10&gt;0,1,0)</f>
        <v>1</v>
      </c>
      <c r="P10" s="60">
        <f t="shared" si="4"/>
        <v>43862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ht="12.75">
      <c r="A11" s="56">
        <v>3</v>
      </c>
      <c r="B11" s="56">
        <v>2020</v>
      </c>
      <c r="C11" s="78">
        <v>339988.4</v>
      </c>
      <c r="D11" s="91">
        <f t="shared" si="0"/>
        <v>0.1141073246372104</v>
      </c>
      <c r="E11" s="75">
        <f t="shared" si="1"/>
        <v>305166.65</v>
      </c>
      <c r="F11" s="75"/>
      <c r="G11" s="43"/>
      <c r="H11" s="59">
        <v>339988.4</v>
      </c>
      <c r="I11" s="89">
        <v>305166.65</v>
      </c>
      <c r="J11" s="90">
        <f t="shared" si="2"/>
        <v>305166.65</v>
      </c>
      <c r="N11" s="89">
        <v>305166.65</v>
      </c>
      <c r="O11" s="59">
        <f>IF(A11&gt;0,1,0)</f>
        <v>1</v>
      </c>
      <c r="P11" s="60">
        <f t="shared" si="4"/>
        <v>43891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ht="12.75">
      <c r="A12" s="56">
        <v>4</v>
      </c>
      <c r="B12" s="56">
        <v>2020</v>
      </c>
      <c r="C12" s="78">
        <v>169933.06</v>
      </c>
      <c r="D12" s="91">
        <f t="shared" si="0"/>
        <v>-0.5554209607354539</v>
      </c>
      <c r="E12" s="75">
        <f t="shared" si="1"/>
        <v>382233.63</v>
      </c>
      <c r="F12" s="75"/>
      <c r="G12" s="43"/>
      <c r="H12" s="59">
        <v>169933.06</v>
      </c>
      <c r="I12" s="89">
        <v>382233.63</v>
      </c>
      <c r="J12" s="90">
        <f t="shared" si="2"/>
        <v>382233.63</v>
      </c>
      <c r="N12" s="89">
        <v>382233.63</v>
      </c>
      <c r="O12" s="59">
        <f t="shared" si="3"/>
        <v>1</v>
      </c>
      <c r="P12" s="60">
        <f t="shared" si="4"/>
        <v>43922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ht="12.75">
      <c r="A13" s="56">
        <v>5</v>
      </c>
      <c r="B13" s="56">
        <v>2020</v>
      </c>
      <c r="C13" s="75">
        <v>468.01</v>
      </c>
      <c r="D13" s="91">
        <f t="shared" si="0"/>
        <v>-0.9985965772750474</v>
      </c>
      <c r="E13" s="75">
        <f t="shared" si="1"/>
        <v>333477.57</v>
      </c>
      <c r="F13" s="75"/>
      <c r="G13" s="43"/>
      <c r="I13" s="90">
        <v>333477.57</v>
      </c>
      <c r="J13" s="90">
        <f t="shared" si="2"/>
        <v>333477.57</v>
      </c>
      <c r="N13" s="90">
        <v>333477.57</v>
      </c>
      <c r="O13" s="59">
        <f t="shared" si="3"/>
        <v>1</v>
      </c>
      <c r="P13" s="60">
        <f t="shared" si="4"/>
        <v>43952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ht="12.75">
      <c r="A14" s="56">
        <v>6</v>
      </c>
      <c r="B14" s="56">
        <v>2020</v>
      </c>
      <c r="C14" s="78">
        <v>0</v>
      </c>
      <c r="D14" s="91">
        <f t="shared" si="0"/>
        <v>-1</v>
      </c>
      <c r="E14" s="75">
        <f t="shared" si="1"/>
        <v>348556.14</v>
      </c>
      <c r="F14" s="75"/>
      <c r="G14" s="43"/>
      <c r="I14" s="89">
        <v>348556.14</v>
      </c>
      <c r="J14" s="90">
        <f>+IF(O14=1,I14,"")</f>
        <v>348556.14</v>
      </c>
      <c r="N14" s="89">
        <v>348556.14</v>
      </c>
      <c r="O14" s="59">
        <f t="shared" si="3"/>
        <v>1</v>
      </c>
      <c r="P14" s="60">
        <f t="shared" si="4"/>
        <v>43983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ht="12.75">
      <c r="A15" s="56">
        <v>7</v>
      </c>
      <c r="B15" s="56">
        <v>2020</v>
      </c>
      <c r="C15" s="78">
        <v>200783.86</v>
      </c>
      <c r="D15" s="91">
        <f t="shared" si="0"/>
        <v>-0.40652802484364625</v>
      </c>
      <c r="E15" s="75">
        <f t="shared" si="1"/>
        <v>338320.71</v>
      </c>
      <c r="F15" s="75"/>
      <c r="G15" s="43"/>
      <c r="I15" s="89">
        <v>338320.71</v>
      </c>
      <c r="J15" s="90">
        <f>+IF(O15=1,I15,"")</f>
        <v>338320.71</v>
      </c>
      <c r="N15" s="89">
        <f>131899.37+119722.32+86699.02</f>
        <v>338320.71</v>
      </c>
      <c r="O15" s="59">
        <f t="shared" si="3"/>
        <v>1</v>
      </c>
      <c r="P15" s="60">
        <f t="shared" si="4"/>
        <v>44013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ht="12.75">
      <c r="A16" s="95">
        <v>8</v>
      </c>
      <c r="B16" s="95">
        <v>2020</v>
      </c>
      <c r="C16" s="96">
        <v>19434</v>
      </c>
      <c r="D16" s="91">
        <f t="shared" si="0"/>
        <v>-0.9388632586524894</v>
      </c>
      <c r="E16" s="75">
        <f t="shared" si="1"/>
        <v>317877.59</v>
      </c>
      <c r="F16" s="75"/>
      <c r="G16" s="43"/>
      <c r="I16" s="89">
        <v>317877.59</v>
      </c>
      <c r="J16" s="90">
        <f>+IF(O16=1,I16,"")</f>
        <v>317877.59</v>
      </c>
      <c r="N16" s="89">
        <v>317877.58999999997</v>
      </c>
      <c r="O16" s="59">
        <f t="shared" si="3"/>
        <v>1</v>
      </c>
      <c r="P16" s="60">
        <f t="shared" si="4"/>
        <v>44044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ht="12.75">
      <c r="A17" s="56">
        <v>9</v>
      </c>
      <c r="B17" s="56">
        <v>2020</v>
      </c>
      <c r="C17" s="78">
        <v>7503.18</v>
      </c>
      <c r="D17" s="91">
        <f t="shared" si="0"/>
        <v>-0.977232815382953</v>
      </c>
      <c r="E17" s="75">
        <f t="shared" si="1"/>
        <v>329561.17</v>
      </c>
      <c r="F17" s="75"/>
      <c r="G17" s="43"/>
      <c r="I17" s="89">
        <v>329561.17</v>
      </c>
      <c r="J17" s="90">
        <f t="shared" si="2"/>
        <v>329561.17</v>
      </c>
      <c r="N17" s="89">
        <v>329561.17</v>
      </c>
      <c r="O17" s="59">
        <f t="shared" si="3"/>
        <v>1</v>
      </c>
      <c r="P17" s="60">
        <f t="shared" si="4"/>
        <v>44075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ht="12.75">
      <c r="A18" s="13"/>
      <c r="B18" s="13"/>
      <c r="C18" s="14">
        <f>SUM(C6:C17)</f>
        <v>2363623.17</v>
      </c>
      <c r="D18" s="19">
        <f>+J45</f>
        <v>-0.3938058236695474</v>
      </c>
      <c r="E18" s="14">
        <f>SUM(E6:E17)</f>
        <v>3899118.8999999994</v>
      </c>
      <c r="F18" s="43"/>
      <c r="G18" s="43"/>
      <c r="J18" s="90"/>
      <c r="O18" s="59">
        <f>SUM(O6:O17)</f>
        <v>12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5:34" ht="12.75">
      <c r="E19" s="43"/>
      <c r="F19" s="43"/>
      <c r="G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5:34" ht="12.75">
      <c r="E20" s="43"/>
      <c r="F20" s="43"/>
      <c r="G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5:34" ht="12.75">
      <c r="E21" s="43"/>
      <c r="F21" s="43"/>
      <c r="G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6:34" ht="12.75">
      <c r="F22" s="43"/>
      <c r="G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6:34" ht="12.75">
      <c r="F23" s="43"/>
      <c r="G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6:34" ht="12.75">
      <c r="F24" s="43"/>
      <c r="G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6:34" ht="12.75">
      <c r="F25" s="43"/>
      <c r="G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6:34" ht="12.75">
      <c r="F26" s="43"/>
      <c r="G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6:34" ht="12.75">
      <c r="F27" s="43"/>
      <c r="G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6:34" ht="12.75">
      <c r="F28" s="43"/>
      <c r="G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6:34" ht="12.75">
      <c r="F29" s="43"/>
      <c r="G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6:34" ht="12.75">
      <c r="F30" s="43"/>
      <c r="G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6:34" ht="12.75">
      <c r="F31" s="43"/>
      <c r="G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6:34" ht="12.75">
      <c r="F32" s="43"/>
      <c r="G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6:34" ht="12.75">
      <c r="F33" s="43"/>
      <c r="G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6:34" ht="12.75">
      <c r="F34" s="43"/>
      <c r="G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6:34" ht="12.75">
      <c r="F35" s="43"/>
      <c r="G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6:34" ht="12.75">
      <c r="F36" s="43"/>
      <c r="G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6:34" ht="12.75">
      <c r="F37" s="43"/>
      <c r="G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6:34" ht="12.75">
      <c r="F38" s="43"/>
      <c r="G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6:34" ht="12.75">
      <c r="F39" s="43"/>
      <c r="G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6:34" ht="12.75">
      <c r="F40" s="43"/>
      <c r="G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6:34" ht="12.75">
      <c r="F41" s="43"/>
      <c r="G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6:34" ht="12.75">
      <c r="F42" s="43"/>
      <c r="G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6:34" ht="12.75">
      <c r="F43" s="43"/>
      <c r="G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6:34" ht="12.75">
      <c r="F44" s="43"/>
      <c r="G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6:34" ht="12.75">
      <c r="F45" s="43"/>
      <c r="G45" s="43"/>
      <c r="J45" s="91">
        <f>+(K45/L45)-1</f>
        <v>-0.3938058236695474</v>
      </c>
      <c r="K45" s="92">
        <f>SUM(C6:C17)</f>
        <v>2363623.17</v>
      </c>
      <c r="L45" s="92">
        <f>SUM(I6:I17)</f>
        <v>3899118.8999999994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6:34" ht="12.75">
      <c r="F46" s="43"/>
      <c r="G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6:34" ht="12.75">
      <c r="F47" s="43"/>
      <c r="G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6:34" ht="12.75">
      <c r="F48" s="43"/>
      <c r="G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6:34" ht="12.75">
      <c r="F49" s="43"/>
      <c r="G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6:34" ht="12.75">
      <c r="F50" s="43"/>
      <c r="G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6:34" ht="12.75">
      <c r="F51" s="43"/>
      <c r="G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6:34" ht="12.75">
      <c r="F52" s="43"/>
      <c r="G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</row>
    <row r="53" spans="6:34" ht="12.75">
      <c r="F53" s="43"/>
      <c r="G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0:34" ht="12.75"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0:34" ht="12.75"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10:34" ht="12.75"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0:34" ht="12.75"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10:34" ht="12.75"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0:34" ht="12.75"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0:34" ht="12.75"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0:34" ht="12.75"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0:34" ht="12.75"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0:34" ht="12.75"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0:34" ht="12.75"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0:34" ht="12.75"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0:34" ht="12.75"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0:34" ht="12.75"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10:34" ht="12.75"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0:34" ht="12.75"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0:34" ht="12.75"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0:34" ht="12.75"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10:34" ht="12.75"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0:34" ht="12.75"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0:34" ht="12.75"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0:34" ht="12.75"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0:34" ht="12.75"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</row>
    <row r="77" spans="10:34" ht="12.75"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0:34" ht="12.75"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0:34" ht="12.75"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0:34" ht="12.75"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</row>
    <row r="81" spans="10:34" ht="12.75"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</row>
    <row r="82" spans="10:34" ht="12.75"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</row>
    <row r="83" spans="10:34" ht="12.75"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0:34" ht="12.75"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0:34" ht="12.75"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</row>
    <row r="86" spans="10:34" ht="12.75"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</row>
    <row r="87" spans="10:34" ht="12.75"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</row>
    <row r="88" spans="10:34" ht="12.75"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0:34" ht="12.75"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0:34" ht="12.75"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0:34" ht="12.75"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0:34" ht="12.75"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10:34" ht="12.75"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</row>
    <row r="94" spans="10:34" ht="12.75"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0:34" ht="12.75"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0:34" ht="12.75"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</row>
    <row r="97" spans="10:34" ht="12.75"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</row>
    <row r="98" spans="10:34" ht="12.75"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99" spans="10:34" ht="12.75"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0" spans="10:34" ht="12.75"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</row>
    <row r="101" spans="10:34" ht="12.75"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</row>
    <row r="102" spans="10:34" ht="12.75"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</row>
    <row r="103" spans="10:34" ht="12.75"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  <row r="104" spans="10:34" ht="12.75"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</row>
    <row r="105" spans="10:34" ht="12.75"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</row>
    <row r="106" spans="10:34" ht="12.75"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</row>
    <row r="107" spans="10:34" ht="12.75"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</row>
    <row r="108" spans="10:34" ht="12.75"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</row>
    <row r="109" spans="10:29" ht="12.75"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10:29" ht="12.75"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10:29" ht="12.75"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10:29" ht="12.75"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10:29" ht="12.75"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10:29" ht="12.75"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10:29" ht="12.75"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0:29" ht="12.75"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10:29" ht="12.75"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10:29" ht="12.75"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10:29" ht="12.75"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0:29" ht="12.75"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0:29" ht="12.75"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10:29" ht="12.75"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10:29" ht="12.75"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10:29" ht="12.75"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10:29" ht="12.75"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spans="10:29" ht="12.75"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0:29" ht="12.75"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0:29" ht="12.75"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0:29" ht="12.75"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0:29" ht="12.75"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10:29" ht="12.75"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10:29" ht="12.75"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10:29" ht="12.75"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0:29" ht="12.75"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0:29" ht="12.75"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0:29" ht="12.75"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spans="10:29" ht="12.75"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10:29" ht="12.75"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10:29" ht="12.75"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10:29" ht="12.75"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20:23" ht="12.75">
      <c r="T141" s="59"/>
      <c r="U141" s="59"/>
      <c r="V141" s="59"/>
      <c r="W141" s="59"/>
    </row>
    <row r="142" spans="20:23" ht="12.75">
      <c r="T142" s="59"/>
      <c r="U142" s="59"/>
      <c r="V142" s="59"/>
      <c r="W142" s="59"/>
    </row>
    <row r="143" spans="20:23" ht="12.75">
      <c r="T143" s="59"/>
      <c r="U143" s="59"/>
      <c r="V143" s="59"/>
      <c r="W143" s="59"/>
    </row>
    <row r="144" spans="20:23" ht="12.75">
      <c r="T144" s="59"/>
      <c r="U144" s="59"/>
      <c r="V144" s="59"/>
      <c r="W144" s="5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61"/>
  <sheetViews>
    <sheetView zoomScalePageLayoutView="0" workbookViewId="0" topLeftCell="A1">
      <selection activeCell="A18" sqref="A18:J18"/>
    </sheetView>
  </sheetViews>
  <sheetFormatPr defaultColWidth="9.140625" defaultRowHeight="12.75"/>
  <cols>
    <col min="2" max="2" width="10.28125" style="0" customWidth="1"/>
    <col min="3" max="3" width="19.140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21.00390625" style="0" customWidth="1"/>
    <col min="11" max="11" width="24.28125" style="0" customWidth="1"/>
    <col min="17" max="17" width="13.421875" style="0" customWidth="1"/>
    <col min="18" max="18" width="21.851562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  <col min="25" max="25" width="12.00390625" style="0" customWidth="1"/>
  </cols>
  <sheetData>
    <row r="1" spans="1:29" ht="12.75">
      <c r="A1" s="13"/>
      <c r="B1" s="13"/>
      <c r="C1" s="13" t="s">
        <v>0</v>
      </c>
      <c r="D1" s="13"/>
      <c r="E1" s="13"/>
      <c r="F1" s="13"/>
      <c r="G1" s="13"/>
      <c r="H1" s="13"/>
      <c r="I1" s="13"/>
      <c r="J1" s="13"/>
      <c r="K1" s="13"/>
      <c r="N1" s="59"/>
      <c r="O1" s="59"/>
      <c r="P1" s="43"/>
      <c r="Q1" s="43"/>
      <c r="R1" s="43">
        <f>+B7-1</f>
        <v>2018</v>
      </c>
      <c r="S1" s="43" t="s">
        <v>3</v>
      </c>
      <c r="T1" s="43">
        <f>+B7</f>
        <v>2019</v>
      </c>
      <c r="U1" s="43"/>
      <c r="V1" s="43"/>
      <c r="W1" s="43"/>
      <c r="X1" s="59"/>
      <c r="Y1" s="59"/>
      <c r="Z1" s="59"/>
      <c r="AA1" s="59"/>
      <c r="AB1" s="59"/>
      <c r="AC1" s="59"/>
    </row>
    <row r="2" spans="1:29" ht="12.75">
      <c r="A2" s="13"/>
      <c r="B2" s="13"/>
      <c r="C2" s="13" t="s">
        <v>45</v>
      </c>
      <c r="D2" s="13"/>
      <c r="E2" s="13"/>
      <c r="F2" s="13"/>
      <c r="G2" s="13"/>
      <c r="H2" s="13"/>
      <c r="I2" s="13"/>
      <c r="J2" s="13"/>
      <c r="K2" s="13"/>
      <c r="N2" s="59"/>
      <c r="O2" s="59"/>
      <c r="P2" s="43"/>
      <c r="Q2" s="43"/>
      <c r="R2" s="43"/>
      <c r="S2" s="43"/>
      <c r="T2" s="43"/>
      <c r="U2" s="43"/>
      <c r="V2" s="43"/>
      <c r="W2" s="43"/>
      <c r="X2" s="59"/>
      <c r="Y2" s="59"/>
      <c r="Z2" s="59"/>
      <c r="AA2" s="59"/>
      <c r="AB2" s="59"/>
      <c r="AC2" s="59"/>
    </row>
    <row r="3" spans="1:29" ht="12.75">
      <c r="A3" s="13"/>
      <c r="B3" s="13"/>
      <c r="C3" s="13" t="s">
        <v>46</v>
      </c>
      <c r="D3" s="13"/>
      <c r="E3" s="13"/>
      <c r="F3" s="13"/>
      <c r="G3" s="13"/>
      <c r="H3" s="13"/>
      <c r="I3" s="13" t="s">
        <v>47</v>
      </c>
      <c r="J3" s="13" t="s">
        <v>48</v>
      </c>
      <c r="K3" s="13"/>
      <c r="N3" s="59"/>
      <c r="O3" s="59"/>
      <c r="P3" s="43"/>
      <c r="Q3" s="43"/>
      <c r="R3" s="43"/>
      <c r="S3" s="43"/>
      <c r="T3" s="43"/>
      <c r="U3" s="43"/>
      <c r="V3" s="43"/>
      <c r="W3" s="43"/>
      <c r="X3" s="59"/>
      <c r="Y3" s="59"/>
      <c r="Z3" s="59"/>
      <c r="AA3" s="59"/>
      <c r="AB3" s="59"/>
      <c r="AC3" s="59"/>
    </row>
    <row r="4" spans="1:29" ht="12.75">
      <c r="A4" s="13"/>
      <c r="B4" s="13"/>
      <c r="C4" s="13" t="s">
        <v>17</v>
      </c>
      <c r="D4" s="13"/>
      <c r="E4" s="13">
        <f>+B7</f>
        <v>2019</v>
      </c>
      <c r="F4" s="13" t="s">
        <v>3</v>
      </c>
      <c r="G4" s="13">
        <f>+B7+1</f>
        <v>2020</v>
      </c>
      <c r="H4" s="13"/>
      <c r="I4" s="13"/>
      <c r="J4" s="13"/>
      <c r="K4" s="13"/>
      <c r="N4" s="59"/>
      <c r="O4" s="59"/>
      <c r="P4" s="43"/>
      <c r="Q4" s="43"/>
      <c r="R4" s="43"/>
      <c r="S4" s="43"/>
      <c r="T4" s="43"/>
      <c r="U4" s="43"/>
      <c r="V4" s="43"/>
      <c r="W4" s="43"/>
      <c r="X4" s="59"/>
      <c r="Y4" s="59"/>
      <c r="Z4" s="59"/>
      <c r="AA4" s="59"/>
      <c r="AB4" s="59"/>
      <c r="AC4" s="59"/>
    </row>
    <row r="5" spans="1:29" ht="12.75">
      <c r="A5" s="13"/>
      <c r="B5" s="13"/>
      <c r="C5" s="13"/>
      <c r="D5" s="13"/>
      <c r="E5" s="13"/>
      <c r="F5" s="13" t="s">
        <v>49</v>
      </c>
      <c r="G5" s="13"/>
      <c r="H5" s="13"/>
      <c r="I5" s="13" t="s">
        <v>50</v>
      </c>
      <c r="J5" s="13" t="s">
        <v>23</v>
      </c>
      <c r="K5" s="13"/>
      <c r="N5" s="59"/>
      <c r="O5" s="59"/>
      <c r="P5" s="43"/>
      <c r="Q5" s="43"/>
      <c r="R5" s="43"/>
      <c r="S5" s="43"/>
      <c r="T5" s="43"/>
      <c r="U5" s="43"/>
      <c r="V5" s="43"/>
      <c r="W5" s="43"/>
      <c r="X5" s="59"/>
      <c r="Y5" s="59"/>
      <c r="Z5" s="59"/>
      <c r="AA5" s="59"/>
      <c r="AB5" s="59"/>
      <c r="AC5" s="59"/>
    </row>
    <row r="6" spans="1:29" ht="12.75">
      <c r="A6" s="13" t="s">
        <v>4</v>
      </c>
      <c r="B6" s="13" t="s">
        <v>14</v>
      </c>
      <c r="C6" s="13" t="s">
        <v>19</v>
      </c>
      <c r="D6" s="13" t="s">
        <v>6</v>
      </c>
      <c r="E6" s="13" t="s">
        <v>20</v>
      </c>
      <c r="F6" s="13" t="s">
        <v>8</v>
      </c>
      <c r="G6" s="13" t="s">
        <v>33</v>
      </c>
      <c r="H6" s="13"/>
      <c r="I6" s="13" t="s">
        <v>51</v>
      </c>
      <c r="J6" s="13" t="s">
        <v>52</v>
      </c>
      <c r="K6" s="87" t="s">
        <v>86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2.75">
      <c r="A7" s="42">
        <v>10</v>
      </c>
      <c r="B7" s="42">
        <v>2019</v>
      </c>
      <c r="C7" s="44">
        <v>2425188.27</v>
      </c>
      <c r="D7" s="44">
        <v>72755.64809999999</v>
      </c>
      <c r="E7" s="44">
        <v>2352432.6219</v>
      </c>
      <c r="F7" s="45">
        <v>0.08972332908798109</v>
      </c>
      <c r="G7" s="42">
        <v>11</v>
      </c>
      <c r="H7" s="42">
        <v>2019</v>
      </c>
      <c r="I7" s="44">
        <v>1999567.7286150001</v>
      </c>
      <c r="J7" s="44">
        <v>352864.893285</v>
      </c>
      <c r="K7" s="23">
        <f aca="true" t="shared" si="0" ref="K7:K18">+U7</f>
        <v>2225508.26</v>
      </c>
      <c r="N7" s="63">
        <v>0.0557</v>
      </c>
      <c r="O7" s="59"/>
      <c r="P7" s="59">
        <f>IF(I7&gt;0,1,0)</f>
        <v>1</v>
      </c>
      <c r="Q7" s="64">
        <f>DATE(B7,A7,1)</f>
        <v>43739</v>
      </c>
      <c r="R7" s="60">
        <f>IF(E7&gt;0,Q7," ")</f>
        <v>43739</v>
      </c>
      <c r="S7" s="59"/>
      <c r="T7" s="61">
        <f>IF(P7=1,(F7+1),"")</f>
        <v>1.089723329087981</v>
      </c>
      <c r="U7" s="62">
        <f>IF(P7=1,C7/T7,"")</f>
        <v>2225508.26</v>
      </c>
      <c r="V7" s="62"/>
      <c r="W7" s="59"/>
      <c r="X7" s="62">
        <f>IF(P7=1,E7/T7,0)</f>
        <v>2158743.0121999998</v>
      </c>
      <c r="Y7" s="62">
        <f>IF(P7=1,X7*0.85,0)</f>
        <v>1834931.5603699998</v>
      </c>
      <c r="Z7" s="62">
        <f>IF(P7=1,X7*0.15,0)</f>
        <v>323811.45183</v>
      </c>
      <c r="AA7" s="59"/>
      <c r="AB7" s="59"/>
      <c r="AC7" s="59"/>
    </row>
    <row r="8" spans="1:29" ht="12.75">
      <c r="A8" s="42">
        <v>11</v>
      </c>
      <c r="B8" s="42">
        <v>2019</v>
      </c>
      <c r="C8" s="44">
        <v>2290415.43</v>
      </c>
      <c r="D8" s="44">
        <v>68712.4629</v>
      </c>
      <c r="E8" s="44">
        <v>2221702.9671</v>
      </c>
      <c r="F8" s="45">
        <v>0.016205443802154385</v>
      </c>
      <c r="G8" s="42">
        <v>12</v>
      </c>
      <c r="H8" s="42">
        <v>2019</v>
      </c>
      <c r="I8" s="44">
        <v>1888447.522035</v>
      </c>
      <c r="J8" s="44">
        <v>333255.445065</v>
      </c>
      <c r="K8" s="23">
        <f t="shared" si="0"/>
        <v>2253890.14</v>
      </c>
      <c r="N8" s="59"/>
      <c r="O8" s="59"/>
      <c r="P8" s="59">
        <f aca="true" t="shared" si="1" ref="P8:P18">IF(I8&gt;0,1,0)</f>
        <v>1</v>
      </c>
      <c r="Q8" s="64">
        <f aca="true" t="shared" si="2" ref="Q8:Q18">DATE(B8,A8,1)</f>
        <v>43770</v>
      </c>
      <c r="R8" s="60">
        <f aca="true" t="shared" si="3" ref="R8:R18">IF(E8&gt;0,Q8," ")</f>
        <v>43770</v>
      </c>
      <c r="S8" s="59"/>
      <c r="T8" s="61">
        <f>IF(P8=1,(F8+1),"")</f>
        <v>1.0162054438021544</v>
      </c>
      <c r="U8" s="62">
        <f>IF(P8=1,C8/T8,"")</f>
        <v>2253890.14</v>
      </c>
      <c r="V8" s="62"/>
      <c r="W8" s="59"/>
      <c r="X8" s="62">
        <f aca="true" t="shared" si="4" ref="X8:X18">IF(P8=1,E8/T8,0)</f>
        <v>2186273.4358</v>
      </c>
      <c r="Y8" s="62">
        <f aca="true" t="shared" si="5" ref="Y8:Y18">IF(P8=1,X8*0.85,0)</f>
        <v>1858332.42043</v>
      </c>
      <c r="Z8" s="62">
        <f aca="true" t="shared" si="6" ref="Z8:Z18">IF(P8=1,X8*0.15,0)</f>
        <v>327941.01537</v>
      </c>
      <c r="AA8" s="59"/>
      <c r="AB8" s="59"/>
      <c r="AC8" s="59"/>
    </row>
    <row r="9" spans="1:29" ht="12.75">
      <c r="A9" s="42">
        <v>12</v>
      </c>
      <c r="B9" s="42">
        <v>2019</v>
      </c>
      <c r="C9" s="44">
        <v>2494585.02</v>
      </c>
      <c r="D9" s="44">
        <v>74837.5506</v>
      </c>
      <c r="E9" s="44">
        <v>2419747.4694</v>
      </c>
      <c r="F9" s="45">
        <v>0.07809888855531177</v>
      </c>
      <c r="G9" s="42">
        <v>1</v>
      </c>
      <c r="H9" s="42">
        <v>2020</v>
      </c>
      <c r="I9" s="44">
        <v>2056785.3489899999</v>
      </c>
      <c r="J9" s="44">
        <v>362962.12041</v>
      </c>
      <c r="K9" s="23">
        <f t="shared" si="0"/>
        <v>2313874.03</v>
      </c>
      <c r="N9" s="59"/>
      <c r="O9" s="59"/>
      <c r="P9" s="59">
        <f t="shared" si="1"/>
        <v>1</v>
      </c>
      <c r="Q9" s="64">
        <f t="shared" si="2"/>
        <v>43800</v>
      </c>
      <c r="R9" s="60">
        <f t="shared" si="3"/>
        <v>43800</v>
      </c>
      <c r="S9" s="59"/>
      <c r="T9" s="61">
        <f aca="true" t="shared" si="7" ref="T9:T18">IF(P9=1,(F9+1),"")</f>
        <v>1.0780988885553118</v>
      </c>
      <c r="U9" s="62">
        <f aca="true" t="shared" si="8" ref="U9:U18">IF(P9=1,C9/T9,"")</f>
        <v>2313874.03</v>
      </c>
      <c r="V9" s="62"/>
      <c r="W9" s="59"/>
      <c r="X9" s="62">
        <f t="shared" si="4"/>
        <v>2244457.8090999997</v>
      </c>
      <c r="Y9" s="62">
        <f t="shared" si="5"/>
        <v>1907789.1377349996</v>
      </c>
      <c r="Z9" s="62">
        <f t="shared" si="6"/>
        <v>336668.67136499996</v>
      </c>
      <c r="AA9" s="59"/>
      <c r="AB9" s="59"/>
      <c r="AC9" s="59"/>
    </row>
    <row r="10" spans="1:29" ht="12.75">
      <c r="A10" s="42">
        <v>1</v>
      </c>
      <c r="B10" s="42">
        <v>2020</v>
      </c>
      <c r="C10" s="44">
        <v>3171795.43</v>
      </c>
      <c r="D10" s="44">
        <v>95153.86290000001</v>
      </c>
      <c r="E10" s="44">
        <v>3076641.5671</v>
      </c>
      <c r="F10" s="45">
        <v>0.1011052907918144</v>
      </c>
      <c r="G10" s="42">
        <v>2</v>
      </c>
      <c r="H10" s="42">
        <v>2020</v>
      </c>
      <c r="I10" s="44">
        <v>2615145.332035</v>
      </c>
      <c r="J10" s="44">
        <v>461496.235065</v>
      </c>
      <c r="K10" s="23">
        <f t="shared" si="0"/>
        <v>2880555.9800000004</v>
      </c>
      <c r="N10" s="59"/>
      <c r="O10" s="59"/>
      <c r="P10" s="59">
        <f t="shared" si="1"/>
        <v>1</v>
      </c>
      <c r="Q10" s="64">
        <f t="shared" si="2"/>
        <v>43831</v>
      </c>
      <c r="R10" s="60">
        <f t="shared" si="3"/>
        <v>43831</v>
      </c>
      <c r="S10" s="59"/>
      <c r="T10" s="61">
        <f>IF(P10=1,(F10+1),"")</f>
        <v>1.1011052907918144</v>
      </c>
      <c r="U10" s="62">
        <f>IF(P10=1,C10/T10,"")</f>
        <v>2880555.9800000004</v>
      </c>
      <c r="V10" s="62"/>
      <c r="W10" s="59"/>
      <c r="X10" s="62">
        <f t="shared" si="4"/>
        <v>2794139.3006</v>
      </c>
      <c r="Y10" s="62">
        <f t="shared" si="5"/>
        <v>2375018.40551</v>
      </c>
      <c r="Z10" s="62">
        <f t="shared" si="6"/>
        <v>419120.89509</v>
      </c>
      <c r="AA10" s="59"/>
      <c r="AB10" s="59"/>
      <c r="AC10" s="59"/>
    </row>
    <row r="11" spans="1:29" ht="12.75">
      <c r="A11" s="42">
        <v>2</v>
      </c>
      <c r="B11" s="42">
        <v>2020</v>
      </c>
      <c r="C11" s="44">
        <v>2539065.39</v>
      </c>
      <c r="D11" s="44">
        <v>76171.9617</v>
      </c>
      <c r="E11" s="44">
        <v>2462893.4283000003</v>
      </c>
      <c r="F11" s="45">
        <v>0.009441622127013938</v>
      </c>
      <c r="G11" s="42">
        <v>3</v>
      </c>
      <c r="H11" s="42">
        <v>2020</v>
      </c>
      <c r="I11" s="44">
        <v>2093459.414055</v>
      </c>
      <c r="J11" s="44">
        <v>369434.014245</v>
      </c>
      <c r="K11" s="23">
        <f t="shared" si="0"/>
        <v>2515316.72</v>
      </c>
      <c r="N11" s="59"/>
      <c r="O11" s="59"/>
      <c r="P11" s="59">
        <f t="shared" si="1"/>
        <v>1</v>
      </c>
      <c r="Q11" s="64">
        <f t="shared" si="2"/>
        <v>43862</v>
      </c>
      <c r="R11" s="60">
        <f t="shared" si="3"/>
        <v>43862</v>
      </c>
      <c r="S11" s="59"/>
      <c r="T11" s="61">
        <f t="shared" si="7"/>
        <v>1.009441622127014</v>
      </c>
      <c r="U11" s="62">
        <f t="shared" si="8"/>
        <v>2515316.72</v>
      </c>
      <c r="V11" s="62"/>
      <c r="W11" s="59"/>
      <c r="X11" s="62">
        <f t="shared" si="4"/>
        <v>2439857.2184</v>
      </c>
      <c r="Y11" s="62">
        <f t="shared" si="5"/>
        <v>2073878.63564</v>
      </c>
      <c r="Z11" s="62">
        <f t="shared" si="6"/>
        <v>365978.58276</v>
      </c>
      <c r="AA11" s="59"/>
      <c r="AB11" s="59"/>
      <c r="AC11" s="59"/>
    </row>
    <row r="12" spans="1:29" ht="12.75">
      <c r="A12" s="42">
        <v>3</v>
      </c>
      <c r="B12" s="42">
        <v>2020</v>
      </c>
      <c r="C12" s="44">
        <v>2408661.43</v>
      </c>
      <c r="D12" s="44">
        <v>72259.8429</v>
      </c>
      <c r="E12" s="44">
        <v>2336401.5871</v>
      </c>
      <c r="F12" s="45">
        <v>-0.09579470986575</v>
      </c>
      <c r="G12" s="42">
        <v>4</v>
      </c>
      <c r="H12" s="42">
        <v>2020</v>
      </c>
      <c r="I12" s="44">
        <v>1985941.349035</v>
      </c>
      <c r="J12" s="44">
        <v>350460.238065</v>
      </c>
      <c r="K12" s="23">
        <f t="shared" si="0"/>
        <v>2663843.55</v>
      </c>
      <c r="N12" s="59"/>
      <c r="O12" s="59"/>
      <c r="P12" s="59">
        <f t="shared" si="1"/>
        <v>1</v>
      </c>
      <c r="Q12" s="64">
        <f t="shared" si="2"/>
        <v>43891</v>
      </c>
      <c r="R12" s="60">
        <f t="shared" si="3"/>
        <v>43891</v>
      </c>
      <c r="S12" s="59"/>
      <c r="T12" s="61">
        <f t="shared" si="7"/>
        <v>0.90420529013425</v>
      </c>
      <c r="U12" s="62">
        <f t="shared" si="8"/>
        <v>2663843.55</v>
      </c>
      <c r="V12" s="62"/>
      <c r="W12" s="59"/>
      <c r="X12" s="62">
        <f t="shared" si="4"/>
        <v>2583928.2434999994</v>
      </c>
      <c r="Y12" s="62">
        <f t="shared" si="5"/>
        <v>2196339.0069749993</v>
      </c>
      <c r="Z12" s="62">
        <f t="shared" si="6"/>
        <v>387589.2365249999</v>
      </c>
      <c r="AA12" s="59"/>
      <c r="AB12" s="59"/>
      <c r="AC12" s="59"/>
    </row>
    <row r="13" spans="1:29" ht="12.75">
      <c r="A13" s="42">
        <v>4</v>
      </c>
      <c r="B13" s="42">
        <v>2020</v>
      </c>
      <c r="C13" s="44">
        <v>1254424.13</v>
      </c>
      <c r="D13" s="44">
        <v>37632.7239</v>
      </c>
      <c r="E13" s="44">
        <v>1216791.4060999998</v>
      </c>
      <c r="F13" s="45">
        <v>-0.5656768563146073</v>
      </c>
      <c r="G13" s="42">
        <v>5</v>
      </c>
      <c r="H13" s="42">
        <v>2020</v>
      </c>
      <c r="I13" s="44">
        <v>1034272.6951849998</v>
      </c>
      <c r="J13" s="44">
        <v>182518.71091499997</v>
      </c>
      <c r="K13" s="23">
        <f t="shared" si="0"/>
        <v>2888227.69</v>
      </c>
      <c r="N13" s="59"/>
      <c r="O13" s="59"/>
      <c r="P13" s="59">
        <f t="shared" si="1"/>
        <v>1</v>
      </c>
      <c r="Q13" s="64">
        <f t="shared" si="2"/>
        <v>43922</v>
      </c>
      <c r="R13" s="60">
        <f t="shared" si="3"/>
        <v>43922</v>
      </c>
      <c r="S13" s="59"/>
      <c r="T13" s="61">
        <f t="shared" si="7"/>
        <v>0.4343231436853927</v>
      </c>
      <c r="U13" s="62">
        <f t="shared" si="8"/>
        <v>2888227.69</v>
      </c>
      <c r="V13" s="62">
        <f aca="true" t="shared" si="9" ref="V13:V18">IF(P13=1,U13*0.85,"")</f>
        <v>2454993.5365</v>
      </c>
      <c r="W13" s="59"/>
      <c r="X13" s="62">
        <f t="shared" si="4"/>
        <v>2801580.8592999997</v>
      </c>
      <c r="Y13" s="62">
        <f t="shared" si="5"/>
        <v>2381343.7304049996</v>
      </c>
      <c r="Z13" s="62">
        <f t="shared" si="6"/>
        <v>420237.1288949999</v>
      </c>
      <c r="AA13" s="59"/>
      <c r="AB13" s="59"/>
      <c r="AC13" s="59"/>
    </row>
    <row r="14" spans="1:29" ht="12.75">
      <c r="A14" s="42">
        <v>5</v>
      </c>
      <c r="B14" s="42">
        <v>2020</v>
      </c>
      <c r="C14" s="44">
        <v>982924.16</v>
      </c>
      <c r="D14" s="44">
        <v>29487.7248</v>
      </c>
      <c r="E14" s="44">
        <v>953436.4352000001</v>
      </c>
      <c r="F14" s="45">
        <v>-0.6290311101794868</v>
      </c>
      <c r="G14" s="42">
        <v>6</v>
      </c>
      <c r="H14" s="42">
        <v>2020</v>
      </c>
      <c r="I14" s="44">
        <v>810420.9699200001</v>
      </c>
      <c r="J14" s="44">
        <v>143015.46528</v>
      </c>
      <c r="K14" s="23">
        <f t="shared" si="0"/>
        <v>2649613.45</v>
      </c>
      <c r="N14" s="59"/>
      <c r="O14" s="59"/>
      <c r="P14" s="59">
        <f t="shared" si="1"/>
        <v>1</v>
      </c>
      <c r="Q14" s="64">
        <f t="shared" si="2"/>
        <v>43952</v>
      </c>
      <c r="R14" s="60">
        <f t="shared" si="3"/>
        <v>43952</v>
      </c>
      <c r="S14" s="59"/>
      <c r="T14" s="61">
        <f t="shared" si="7"/>
        <v>0.37096888982051324</v>
      </c>
      <c r="U14" s="62">
        <f t="shared" si="8"/>
        <v>2649613.45</v>
      </c>
      <c r="V14" s="62">
        <f t="shared" si="9"/>
        <v>2252171.4325</v>
      </c>
      <c r="W14" s="59"/>
      <c r="X14" s="62">
        <f t="shared" si="4"/>
        <v>2570125.0465</v>
      </c>
      <c r="Y14" s="62">
        <f t="shared" si="5"/>
        <v>2184606.289525</v>
      </c>
      <c r="Z14" s="62">
        <f t="shared" si="6"/>
        <v>385518.756975</v>
      </c>
      <c r="AA14" s="59"/>
      <c r="AB14" s="59"/>
      <c r="AC14" s="59"/>
    </row>
    <row r="15" spans="1:29" ht="12.75">
      <c r="A15" s="42">
        <v>6</v>
      </c>
      <c r="B15" s="42">
        <v>2020</v>
      </c>
      <c r="C15" s="44">
        <v>992801.67</v>
      </c>
      <c r="D15" s="44">
        <v>29784.0501</v>
      </c>
      <c r="E15" s="44">
        <v>963017.6199</v>
      </c>
      <c r="F15" s="45">
        <v>-0.6006979416608769</v>
      </c>
      <c r="G15" s="42">
        <v>7</v>
      </c>
      <c r="H15" s="42">
        <v>2020</v>
      </c>
      <c r="I15" s="44">
        <v>818564.976915</v>
      </c>
      <c r="J15" s="44">
        <v>144452.642985</v>
      </c>
      <c r="K15" s="23">
        <f t="shared" si="0"/>
        <v>2486342.48</v>
      </c>
      <c r="N15" s="59"/>
      <c r="O15" s="59"/>
      <c r="P15" s="59">
        <f t="shared" si="1"/>
        <v>1</v>
      </c>
      <c r="Q15" s="64">
        <f t="shared" si="2"/>
        <v>43983</v>
      </c>
      <c r="R15" s="60">
        <f t="shared" si="3"/>
        <v>43983</v>
      </c>
      <c r="S15" s="59"/>
      <c r="T15" s="61">
        <f t="shared" si="7"/>
        <v>0.39930205833912313</v>
      </c>
      <c r="U15" s="62">
        <f t="shared" si="8"/>
        <v>2486342.48</v>
      </c>
      <c r="V15" s="62">
        <f t="shared" si="9"/>
        <v>2113391.108</v>
      </c>
      <c r="W15" s="59"/>
      <c r="X15" s="62">
        <f t="shared" si="4"/>
        <v>2411752.2056</v>
      </c>
      <c r="Y15" s="62">
        <f t="shared" si="5"/>
        <v>2049989.37476</v>
      </c>
      <c r="Z15" s="62">
        <f t="shared" si="6"/>
        <v>361762.83084</v>
      </c>
      <c r="AA15" s="59"/>
      <c r="AB15" s="59"/>
      <c r="AC15" s="59"/>
    </row>
    <row r="16" spans="1:29" ht="12.75">
      <c r="A16" s="42">
        <v>7</v>
      </c>
      <c r="B16" s="42">
        <v>2020</v>
      </c>
      <c r="C16" s="44">
        <v>1407794.02</v>
      </c>
      <c r="D16" s="44">
        <v>42233.8206</v>
      </c>
      <c r="E16" s="44">
        <v>1365560.1994</v>
      </c>
      <c r="F16" s="45">
        <v>-0.4410354782737036</v>
      </c>
      <c r="G16" s="42">
        <v>8</v>
      </c>
      <c r="H16" s="42">
        <v>2020</v>
      </c>
      <c r="I16" s="44">
        <v>1160726.16949</v>
      </c>
      <c r="J16" s="44">
        <v>204834.02991</v>
      </c>
      <c r="K16" s="23">
        <f t="shared" si="0"/>
        <v>2518574.91</v>
      </c>
      <c r="N16" s="59"/>
      <c r="O16" s="59"/>
      <c r="P16" s="59">
        <f t="shared" si="1"/>
        <v>1</v>
      </c>
      <c r="Q16" s="64">
        <f t="shared" si="2"/>
        <v>44013</v>
      </c>
      <c r="R16" s="60">
        <f t="shared" si="3"/>
        <v>44013</v>
      </c>
      <c r="S16" s="59"/>
      <c r="T16" s="61">
        <f t="shared" si="7"/>
        <v>0.5589645217262964</v>
      </c>
      <c r="U16" s="62">
        <f t="shared" si="8"/>
        <v>2518574.91</v>
      </c>
      <c r="V16" s="62">
        <f t="shared" si="9"/>
        <v>2140788.6735</v>
      </c>
      <c r="W16" s="59"/>
      <c r="X16" s="62">
        <f t="shared" si="4"/>
        <v>2443017.6627</v>
      </c>
      <c r="Y16" s="62">
        <f t="shared" si="5"/>
        <v>2076565.0132950002</v>
      </c>
      <c r="Z16" s="62">
        <f t="shared" si="6"/>
        <v>366452.64940500003</v>
      </c>
      <c r="AA16" s="59"/>
      <c r="AB16" s="59"/>
      <c r="AC16" s="59"/>
    </row>
    <row r="17" spans="1:29" ht="12.75">
      <c r="A17" s="42">
        <v>8</v>
      </c>
      <c r="B17" s="42">
        <v>2020</v>
      </c>
      <c r="C17" s="44">
        <v>1194176.66</v>
      </c>
      <c r="D17" s="44">
        <v>35825.29979999999</v>
      </c>
      <c r="E17" s="44">
        <v>1158351.3602</v>
      </c>
      <c r="F17" s="45">
        <v>-0.5132667523146979</v>
      </c>
      <c r="G17" s="42">
        <v>9</v>
      </c>
      <c r="H17" s="42">
        <v>2020</v>
      </c>
      <c r="I17" s="44">
        <v>984598.65617</v>
      </c>
      <c r="J17" s="44">
        <v>173752.70403</v>
      </c>
      <c r="K17" s="23">
        <f t="shared" si="0"/>
        <v>2453452</v>
      </c>
      <c r="N17" s="59"/>
      <c r="O17" s="59"/>
      <c r="P17" s="59">
        <f t="shared" si="1"/>
        <v>1</v>
      </c>
      <c r="Q17" s="64">
        <f t="shared" si="2"/>
        <v>44044</v>
      </c>
      <c r="R17" s="60">
        <f t="shared" si="3"/>
        <v>44044</v>
      </c>
      <c r="S17" s="59"/>
      <c r="T17" s="61">
        <f t="shared" si="7"/>
        <v>0.48673324768530213</v>
      </c>
      <c r="U17" s="62">
        <f t="shared" si="8"/>
        <v>2453452</v>
      </c>
      <c r="V17" s="62">
        <f t="shared" si="9"/>
        <v>2085434.2</v>
      </c>
      <c r="W17" s="59"/>
      <c r="X17" s="62">
        <f t="shared" si="4"/>
        <v>2379848.4400000004</v>
      </c>
      <c r="Y17" s="62">
        <f t="shared" si="5"/>
        <v>2022871.1740000003</v>
      </c>
      <c r="Z17" s="62">
        <f t="shared" si="6"/>
        <v>356977.26600000006</v>
      </c>
      <c r="AA17" s="59"/>
      <c r="AB17" s="59"/>
      <c r="AC17" s="59"/>
    </row>
    <row r="18" spans="1:29" ht="12.75">
      <c r="A18" s="42">
        <v>9</v>
      </c>
      <c r="B18" s="42">
        <v>2020</v>
      </c>
      <c r="C18" s="44">
        <v>1272277.96</v>
      </c>
      <c r="D18" s="44">
        <v>38168.3388</v>
      </c>
      <c r="E18" s="44">
        <v>1234109.6212</v>
      </c>
      <c r="F18" s="45">
        <v>-0.4729361749615093</v>
      </c>
      <c r="G18" s="42">
        <v>10</v>
      </c>
      <c r="H18" s="42">
        <v>2020</v>
      </c>
      <c r="I18" s="44">
        <v>1048993.17802</v>
      </c>
      <c r="J18" s="44">
        <v>185116.44317999997</v>
      </c>
      <c r="K18" s="23">
        <f t="shared" si="0"/>
        <v>2413897.33</v>
      </c>
      <c r="N18" s="59"/>
      <c r="O18" s="59"/>
      <c r="P18" s="59">
        <f t="shared" si="1"/>
        <v>1</v>
      </c>
      <c r="Q18" s="64">
        <f t="shared" si="2"/>
        <v>44075</v>
      </c>
      <c r="R18" s="60">
        <f t="shared" si="3"/>
        <v>44075</v>
      </c>
      <c r="S18" s="59"/>
      <c r="T18" s="61">
        <f t="shared" si="7"/>
        <v>0.5270638250384907</v>
      </c>
      <c r="U18" s="62">
        <f t="shared" si="8"/>
        <v>2413897.33</v>
      </c>
      <c r="V18" s="62">
        <f t="shared" si="9"/>
        <v>2051812.7305</v>
      </c>
      <c r="W18" s="59"/>
      <c r="X18" s="62">
        <f t="shared" si="4"/>
        <v>2341480.4101</v>
      </c>
      <c r="Y18" s="62">
        <f t="shared" si="5"/>
        <v>1990258.348585</v>
      </c>
      <c r="Z18" s="62">
        <f t="shared" si="6"/>
        <v>351222.061515</v>
      </c>
      <c r="AA18" s="59"/>
      <c r="AB18" s="59"/>
      <c r="AC18" s="59"/>
    </row>
    <row r="19" spans="1:29" ht="12.75">
      <c r="A19" s="13"/>
      <c r="B19" s="13"/>
      <c r="C19" s="14">
        <f>SUM(C7:C18)</f>
        <v>22434109.570000004</v>
      </c>
      <c r="D19" s="14">
        <f>SUM(D7:D18)</f>
        <v>673023.2871</v>
      </c>
      <c r="E19" s="14">
        <f>SUM(E7:E18)</f>
        <v>21761086.282899998</v>
      </c>
      <c r="F19" s="19">
        <f>(C19/U19)-1</f>
        <v>-0.25869748522435887</v>
      </c>
      <c r="G19" s="13"/>
      <c r="H19" s="13"/>
      <c r="I19" s="14">
        <f>SUM(I7:I18)</f>
        <v>18496923.340465</v>
      </c>
      <c r="J19" s="14">
        <f>SUM(J7:J18)</f>
        <v>3264162.942435</v>
      </c>
      <c r="K19" s="14">
        <f>SUM(K7:K18)</f>
        <v>30263096.54</v>
      </c>
      <c r="N19" s="59"/>
      <c r="O19" s="59"/>
      <c r="P19" s="59">
        <f>SUM(P7:P18)</f>
        <v>12</v>
      </c>
      <c r="Q19" s="59"/>
      <c r="R19" s="63">
        <f>(F7+F8+F9+F10+F11+F12+F13+F14+F15+F16+F17+F18)/P19</f>
        <v>-0.2519887041005297</v>
      </c>
      <c r="S19" s="59"/>
      <c r="T19" s="59"/>
      <c r="U19" s="62">
        <f>SUM(U7:U18)</f>
        <v>30263096.54</v>
      </c>
      <c r="V19" s="59"/>
      <c r="W19" s="59"/>
      <c r="X19" s="62">
        <f>IF(P19=1,F19/W19,"")</f>
      </c>
      <c r="Y19" s="59"/>
      <c r="Z19" s="59"/>
      <c r="AA19" s="59"/>
      <c r="AB19" s="59"/>
      <c r="AC19" s="59"/>
    </row>
    <row r="20" spans="14:29" ht="12.75">
      <c r="N20" s="59"/>
      <c r="O20" s="59"/>
      <c r="P20" s="43"/>
      <c r="Q20" s="43"/>
      <c r="R20" s="43"/>
      <c r="S20" s="43"/>
      <c r="T20" s="43"/>
      <c r="U20" s="43"/>
      <c r="V20" s="43"/>
      <c r="W20" s="43"/>
      <c r="X20" s="59"/>
      <c r="Y20" s="59"/>
      <c r="Z20" s="59"/>
      <c r="AA20" s="59"/>
      <c r="AB20" s="59"/>
      <c r="AC20" s="59"/>
    </row>
    <row r="21" spans="14:29" ht="12.75">
      <c r="N21" s="59"/>
      <c r="O21" s="59"/>
      <c r="P21" s="43"/>
      <c r="Q21" s="43"/>
      <c r="R21" s="43"/>
      <c r="S21" s="43"/>
      <c r="T21" s="43"/>
      <c r="U21" s="43"/>
      <c r="V21" s="43"/>
      <c r="W21" s="43"/>
      <c r="X21" s="59"/>
      <c r="Y21" s="59"/>
      <c r="Z21" s="59"/>
      <c r="AA21" s="59"/>
      <c r="AB21" s="59"/>
      <c r="AC21" s="59"/>
    </row>
    <row r="22" spans="14:29" ht="12.75">
      <c r="N22" s="59"/>
      <c r="O22" s="59"/>
      <c r="P22" s="43"/>
      <c r="Q22" s="43"/>
      <c r="R22" s="43"/>
      <c r="S22" s="43"/>
      <c r="T22" s="43"/>
      <c r="U22" s="43"/>
      <c r="V22" s="43"/>
      <c r="W22" s="43"/>
      <c r="X22" s="59"/>
      <c r="Y22" s="59"/>
      <c r="Z22" s="59"/>
      <c r="AA22" s="59"/>
      <c r="AB22" s="59"/>
      <c r="AC22" s="59"/>
    </row>
    <row r="23" spans="14:29" ht="12.75">
      <c r="N23" s="59"/>
      <c r="O23" s="59"/>
      <c r="P23" s="59"/>
      <c r="Q23" s="59"/>
      <c r="R23" s="59"/>
      <c r="S23" s="59"/>
      <c r="T23" s="59"/>
      <c r="U23" s="65"/>
      <c r="V23" s="59"/>
      <c r="W23" s="59"/>
      <c r="X23" s="59"/>
      <c r="Y23" s="59"/>
      <c r="Z23" s="59"/>
      <c r="AA23" s="59"/>
      <c r="AB23" s="59"/>
      <c r="AC23" s="59"/>
    </row>
    <row r="24" spans="14:29" ht="12.75">
      <c r="N24" s="59"/>
      <c r="O24" s="59"/>
      <c r="P24" s="59"/>
      <c r="Q24" s="59"/>
      <c r="R24" s="59"/>
      <c r="S24" s="59"/>
      <c r="T24" s="59"/>
      <c r="U24" s="65"/>
      <c r="V24" s="59"/>
      <c r="W24" s="59"/>
      <c r="X24" s="59"/>
      <c r="Y24" s="59"/>
      <c r="Z24" s="59"/>
      <c r="AA24" s="59"/>
      <c r="AB24" s="59"/>
      <c r="AC24" s="59"/>
    </row>
    <row r="25" spans="14:29" ht="12.75">
      <c r="N25" s="59"/>
      <c r="O25" s="59"/>
      <c r="P25" s="59"/>
      <c r="Q25" s="59"/>
      <c r="R25" s="59"/>
      <c r="S25" s="59"/>
      <c r="T25" s="59"/>
      <c r="U25" s="65"/>
      <c r="V25" s="59"/>
      <c r="W25" s="59"/>
      <c r="X25" s="59"/>
      <c r="Y25" s="59"/>
      <c r="Z25" s="59"/>
      <c r="AA25" s="59"/>
      <c r="AB25" s="59"/>
      <c r="AC25" s="59"/>
    </row>
    <row r="26" spans="14:29" ht="12.75">
      <c r="N26" s="59"/>
      <c r="O26" s="59"/>
      <c r="P26" s="59"/>
      <c r="Q26" s="59"/>
      <c r="R26" s="59"/>
      <c r="S26" s="59"/>
      <c r="T26" s="59"/>
      <c r="U26" s="65"/>
      <c r="V26" s="59"/>
      <c r="W26" s="59"/>
      <c r="X26" s="59"/>
      <c r="Y26" s="59"/>
      <c r="Z26" s="59"/>
      <c r="AA26" s="59"/>
      <c r="AB26" s="59"/>
      <c r="AC26" s="59"/>
    </row>
    <row r="27" spans="14:29" ht="12.75">
      <c r="N27" s="59"/>
      <c r="O27" s="59"/>
      <c r="P27" s="59"/>
      <c r="Q27" s="59"/>
      <c r="R27" s="59"/>
      <c r="S27" s="59"/>
      <c r="T27" s="59"/>
      <c r="U27" s="65"/>
      <c r="V27" s="59"/>
      <c r="W27" s="59"/>
      <c r="X27" s="59"/>
      <c r="Y27" s="59"/>
      <c r="Z27" s="59"/>
      <c r="AA27" s="59"/>
      <c r="AB27" s="59"/>
      <c r="AC27" s="59"/>
    </row>
    <row r="28" spans="14:29" ht="12.75">
      <c r="N28" s="59"/>
      <c r="O28" s="59"/>
      <c r="P28" s="59"/>
      <c r="Q28" s="59"/>
      <c r="R28" s="59"/>
      <c r="S28" s="59"/>
      <c r="T28" s="59"/>
      <c r="U28" s="65"/>
      <c r="V28" s="59"/>
      <c r="W28" s="59"/>
      <c r="X28" s="59"/>
      <c r="Y28" s="59"/>
      <c r="Z28" s="59"/>
      <c r="AA28" s="59"/>
      <c r="AB28" s="59"/>
      <c r="AC28" s="59"/>
    </row>
    <row r="29" ht="12.75">
      <c r="U29" s="65"/>
    </row>
    <row r="30" ht="12.75">
      <c r="U30" s="65"/>
    </row>
    <row r="31" ht="12.75">
      <c r="U31" s="65"/>
    </row>
    <row r="32" ht="12.75">
      <c r="U32" s="65"/>
    </row>
    <row r="33" ht="12.75">
      <c r="U33" s="65"/>
    </row>
    <row r="34" ht="12.75">
      <c r="U34" s="65"/>
    </row>
    <row r="35" ht="12.75">
      <c r="U35" s="65"/>
    </row>
    <row r="36" ht="12.75">
      <c r="U36" s="65"/>
    </row>
    <row r="51" spans="1:11" ht="12.75">
      <c r="A51" s="13"/>
      <c r="B51" s="13"/>
      <c r="C51" s="13" t="s">
        <v>0</v>
      </c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/>
      <c r="C52" s="13" t="s">
        <v>45</v>
      </c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 t="s">
        <v>46</v>
      </c>
      <c r="D53" s="13"/>
      <c r="E53" s="13"/>
      <c r="F53" s="13"/>
      <c r="G53" s="13"/>
      <c r="H53" s="13"/>
      <c r="I53" s="13" t="s">
        <v>47</v>
      </c>
      <c r="J53" s="13" t="s">
        <v>48</v>
      </c>
      <c r="K53" s="13"/>
    </row>
    <row r="54" spans="1:11" ht="12.75">
      <c r="A54" s="13"/>
      <c r="B54" s="13"/>
      <c r="C54" s="13" t="s">
        <v>17</v>
      </c>
      <c r="D54" s="13"/>
      <c r="E54" s="13">
        <f>+E4</f>
        <v>2019</v>
      </c>
      <c r="F54" s="13" t="s">
        <v>3</v>
      </c>
      <c r="G54" s="13">
        <f>+E4+1</f>
        <v>2020</v>
      </c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 t="s">
        <v>49</v>
      </c>
      <c r="G55" s="13"/>
      <c r="H55" s="13"/>
      <c r="I55" s="13" t="s">
        <v>50</v>
      </c>
      <c r="J55" s="13" t="s">
        <v>23</v>
      </c>
      <c r="K55" s="13"/>
    </row>
    <row r="56" spans="1:11" ht="12.75">
      <c r="A56" s="13" t="s">
        <v>63</v>
      </c>
      <c r="B56" s="13" t="s">
        <v>15</v>
      </c>
      <c r="C56" s="13" t="s">
        <v>19</v>
      </c>
      <c r="D56" s="13" t="s">
        <v>6</v>
      </c>
      <c r="E56" s="13" t="s">
        <v>20</v>
      </c>
      <c r="F56" s="13" t="s">
        <v>8</v>
      </c>
      <c r="G56" s="13" t="s">
        <v>68</v>
      </c>
      <c r="H56" s="13" t="s">
        <v>15</v>
      </c>
      <c r="I56" s="13" t="s">
        <v>51</v>
      </c>
      <c r="J56" s="13" t="s">
        <v>52</v>
      </c>
      <c r="K56" s="13"/>
    </row>
    <row r="57" spans="1:16" ht="12.75">
      <c r="A57">
        <v>1</v>
      </c>
      <c r="B57" t="str">
        <f>+E4&amp;"-"&amp;(E4+1)</f>
        <v>2019-2020</v>
      </c>
      <c r="C57" s="23">
        <f>+C7+C8+C9</f>
        <v>7210188.720000001</v>
      </c>
      <c r="D57" s="23">
        <f>+D7+D8+D9</f>
        <v>216305.6616</v>
      </c>
      <c r="E57" s="23">
        <f>+E7+E8+E9</f>
        <v>6993883.0583999995</v>
      </c>
      <c r="F57" s="31">
        <f>(F7+F8+F9)/P57</f>
        <v>0.06134255381514908</v>
      </c>
      <c r="G57">
        <f aca="true" t="shared" si="10" ref="G57:H60">+A57</f>
        <v>1</v>
      </c>
      <c r="H57" s="38" t="str">
        <f t="shared" si="10"/>
        <v>2019-2020</v>
      </c>
      <c r="I57" s="23">
        <f>+I7+I8+I9</f>
        <v>5944800.59964</v>
      </c>
      <c r="J57" s="23">
        <f>+J7+J8+J9</f>
        <v>1049082.4587599998</v>
      </c>
      <c r="P57" s="40">
        <f>+P7+P8+P9</f>
        <v>3</v>
      </c>
    </row>
    <row r="58" spans="1:16" ht="12.75">
      <c r="A58">
        <v>2</v>
      </c>
      <c r="B58" t="str">
        <f>+B57</f>
        <v>2019-2020</v>
      </c>
      <c r="C58" s="23">
        <f>+C10+C11+C12</f>
        <v>8119522.25</v>
      </c>
      <c r="D58" s="23">
        <f>+D10+D11+D12</f>
        <v>243585.66749999998</v>
      </c>
      <c r="E58" s="23">
        <f>+E10+E11+E12</f>
        <v>7875936.5825000005</v>
      </c>
      <c r="F58" s="31">
        <f>(F10+F11+F12)/P58</f>
        <v>0.00491740101769278</v>
      </c>
      <c r="G58">
        <f t="shared" si="10"/>
        <v>2</v>
      </c>
      <c r="H58" s="38" t="str">
        <f t="shared" si="10"/>
        <v>2019-2020</v>
      </c>
      <c r="I58" s="23">
        <f>+I10+I11+I12</f>
        <v>6694546.095125001</v>
      </c>
      <c r="J58" s="23">
        <f>+J10+J11+J12</f>
        <v>1181390.487375</v>
      </c>
      <c r="P58" s="40">
        <f>+P10+P11+P12</f>
        <v>3</v>
      </c>
    </row>
    <row r="59" spans="1:16" ht="12.75">
      <c r="A59">
        <v>3</v>
      </c>
      <c r="B59" t="str">
        <f>+B57</f>
        <v>2019-2020</v>
      </c>
      <c r="C59" s="23">
        <f>+C13+C14+C15</f>
        <v>3230149.96</v>
      </c>
      <c r="D59" s="23">
        <f>+D13+D14+D15</f>
        <v>96904.4988</v>
      </c>
      <c r="E59" s="23">
        <f>+E13+E14+E15</f>
        <v>3133245.4612</v>
      </c>
      <c r="F59" s="31">
        <f>(F13+F14+F15)/P59</f>
        <v>-0.598468636051657</v>
      </c>
      <c r="G59">
        <f t="shared" si="10"/>
        <v>3</v>
      </c>
      <c r="H59" s="38" t="str">
        <f t="shared" si="10"/>
        <v>2019-2020</v>
      </c>
      <c r="I59" s="23">
        <f>+I13+I14+I15</f>
        <v>2663258.64202</v>
      </c>
      <c r="J59" s="23">
        <f>+J13+J14+J15</f>
        <v>469986.81918</v>
      </c>
      <c r="P59" s="40">
        <f>+P13+P14+P15</f>
        <v>3</v>
      </c>
    </row>
    <row r="60" spans="1:16" ht="12.75">
      <c r="A60">
        <v>4</v>
      </c>
      <c r="B60" t="str">
        <f>+B57</f>
        <v>2019-2020</v>
      </c>
      <c r="C60" s="23">
        <f>+C16+C17+C18</f>
        <v>3874248.6399999997</v>
      </c>
      <c r="D60" s="23">
        <f>+D16+D17+D18</f>
        <v>116227.45919999998</v>
      </c>
      <c r="E60" s="23">
        <f>+E16+E17+E18</f>
        <v>3758021.1808</v>
      </c>
      <c r="F60" s="31">
        <f>(F16+F17+F18)/P60</f>
        <v>-0.4757461351833036</v>
      </c>
      <c r="G60">
        <f t="shared" si="10"/>
        <v>4</v>
      </c>
      <c r="H60" s="38" t="str">
        <f t="shared" si="10"/>
        <v>2019-2020</v>
      </c>
      <c r="I60" s="23">
        <f>+I16+I17+I18</f>
        <v>3194318.00368</v>
      </c>
      <c r="J60" s="23">
        <f>+J16+J17+J18</f>
        <v>563703.17712</v>
      </c>
      <c r="P60" s="40">
        <f>+P16+P17+P18</f>
        <v>3</v>
      </c>
    </row>
    <row r="61" spans="1:10" ht="12.75">
      <c r="A61" s="13" t="s">
        <v>61</v>
      </c>
      <c r="B61" s="13"/>
      <c r="C61" s="39">
        <f>SUM(C57:C60)</f>
        <v>22434109.57</v>
      </c>
      <c r="D61" s="39">
        <f>SUM(D57:D60)</f>
        <v>673023.2870999998</v>
      </c>
      <c r="E61" s="39">
        <f>SUM(E57:E60)</f>
        <v>21761086.282899998</v>
      </c>
      <c r="F61" s="19">
        <f>+F19</f>
        <v>-0.25869748522435887</v>
      </c>
      <c r="G61" s="13"/>
      <c r="H61" s="13"/>
      <c r="I61" s="39">
        <f>SUM(I57:I60)</f>
        <v>18496923.340465</v>
      </c>
      <c r="J61" s="39">
        <f>SUM(J57:J60)</f>
        <v>3264162.942435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39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22.57421875" style="0" customWidth="1"/>
    <col min="2" max="2" width="14.8515625" style="0" customWidth="1"/>
    <col min="3" max="3" width="14.28125" style="0" customWidth="1"/>
    <col min="4" max="4" width="15.421875" style="0" customWidth="1"/>
    <col min="5" max="5" width="29.140625" style="0" customWidth="1"/>
    <col min="6" max="6" width="12.57421875" style="0" customWidth="1"/>
    <col min="7" max="8" width="13.28125" style="0" customWidth="1"/>
    <col min="9" max="9" width="12.421875" style="0" customWidth="1"/>
    <col min="10" max="10" width="9.28125" style="0" bestFit="1" customWidth="1"/>
    <col min="17" max="19" width="9.28125" style="0" bestFit="1" customWidth="1"/>
    <col min="20" max="20" width="10.00390625" style="0" bestFit="1" customWidth="1"/>
    <col min="21" max="23" width="12.57421875" style="0" bestFit="1" customWidth="1"/>
  </cols>
  <sheetData>
    <row r="1" spans="1:29" s="57" customFormat="1" ht="43.5" customHeight="1">
      <c r="A1" s="81">
        <v>9</v>
      </c>
      <c r="B1" s="81">
        <v>2020</v>
      </c>
      <c r="C1" s="81">
        <v>2019</v>
      </c>
      <c r="D1" s="81">
        <v>2018</v>
      </c>
      <c r="E1" s="81">
        <v>2338268.12</v>
      </c>
      <c r="F1" s="81">
        <v>5401589.98</v>
      </c>
      <c r="G1" s="81">
        <v>5517471.54</v>
      </c>
      <c r="H1" s="81">
        <v>128918.46</v>
      </c>
      <c r="I1" s="81">
        <v>536638.24</v>
      </c>
      <c r="J1" s="81">
        <v>507793.72</v>
      </c>
      <c r="K1" s="81">
        <v>1368077.2800000005</v>
      </c>
      <c r="L1" s="81">
        <v>2992750.59</v>
      </c>
      <c r="M1" s="81">
        <v>2598683.4499999997</v>
      </c>
      <c r="N1" s="81">
        <v>1272277.96</v>
      </c>
      <c r="O1" s="81">
        <v>2413897.33</v>
      </c>
      <c r="P1" s="81">
        <v>2361186.92</v>
      </c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</row>
    <row r="2" spans="1:29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31" ht="12.75">
      <c r="A3" s="20">
        <f>+T3</f>
        <v>245</v>
      </c>
      <c r="B3">
        <f>+B1</f>
        <v>2020</v>
      </c>
      <c r="C3">
        <f>+C1</f>
        <v>2019</v>
      </c>
      <c r="D3">
        <f>+D1</f>
        <v>2018</v>
      </c>
      <c r="F3">
        <f>+B1</f>
        <v>2020</v>
      </c>
      <c r="G3">
        <f>+C1</f>
        <v>2019</v>
      </c>
      <c r="H3">
        <f>+D1</f>
        <v>2018</v>
      </c>
      <c r="O3" s="59"/>
      <c r="P3" s="59"/>
      <c r="Q3" s="59"/>
      <c r="R3" s="59"/>
      <c r="S3" s="59"/>
      <c r="T3" s="60">
        <f>DATE(A2,$A$1,1)</f>
        <v>245</v>
      </c>
      <c r="U3" s="64">
        <f>DATE(B3,$A$1,1)</f>
        <v>44075</v>
      </c>
      <c r="V3" s="64">
        <f>DATE(C3,$A$1,1)</f>
        <v>43709</v>
      </c>
      <c r="W3" s="64">
        <f>DATE(D3,$A$1,1)</f>
        <v>43344</v>
      </c>
      <c r="X3" s="59"/>
      <c r="Y3" s="59"/>
      <c r="Z3" s="59"/>
      <c r="AA3" s="59"/>
      <c r="AB3" s="59"/>
      <c r="AC3" s="59"/>
      <c r="AD3" s="59"/>
      <c r="AE3" s="59"/>
    </row>
    <row r="4" spans="1:31" ht="12.75">
      <c r="A4" s="21" t="s">
        <v>55</v>
      </c>
      <c r="B4" s="48">
        <f>+E1+405.64</f>
        <v>2338673.7600000002</v>
      </c>
      <c r="C4" s="48">
        <f>+F1</f>
        <v>5401589.98</v>
      </c>
      <c r="D4" s="48">
        <f>+G1</f>
        <v>5517471.54</v>
      </c>
      <c r="E4" s="53" t="s">
        <v>58</v>
      </c>
      <c r="F4" s="50">
        <f>+H1</f>
        <v>128918.46</v>
      </c>
      <c r="G4" s="50">
        <f>+I1</f>
        <v>536638.24</v>
      </c>
      <c r="H4" s="50">
        <f>+J1</f>
        <v>507793.72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ht="12.75">
      <c r="A5" s="21" t="s">
        <v>56</v>
      </c>
      <c r="B5" s="51">
        <f>+(B4/C4)-1</f>
        <v>-0.5670397478040345</v>
      </c>
      <c r="C5" s="51"/>
      <c r="D5" s="51"/>
      <c r="E5" s="53" t="s">
        <v>56</v>
      </c>
      <c r="F5" s="51">
        <f>+(F4/G4)-1</f>
        <v>-0.7597665421681467</v>
      </c>
      <c r="G5" s="56"/>
      <c r="H5" s="56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2.75">
      <c r="A6" s="21" t="s">
        <v>57</v>
      </c>
      <c r="B6" s="49"/>
      <c r="C6" s="51">
        <f>+(B4/D4)-1</f>
        <v>-0.5761330632980483</v>
      </c>
      <c r="D6" s="51"/>
      <c r="E6" s="53" t="s">
        <v>57</v>
      </c>
      <c r="F6" s="56"/>
      <c r="G6" s="51">
        <f>+(F4/H4)-1</f>
        <v>-0.7461204128322028</v>
      </c>
      <c r="H6" s="56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2.75">
      <c r="A7" s="21" t="s">
        <v>60</v>
      </c>
      <c r="B7" s="49"/>
      <c r="C7" s="51"/>
      <c r="D7" s="51">
        <f>+(C4/D4)-1</f>
        <v>-0.02100265659005096</v>
      </c>
      <c r="E7" s="53" t="s">
        <v>60</v>
      </c>
      <c r="F7" s="56"/>
      <c r="G7" s="56"/>
      <c r="H7" s="51">
        <f>+(G4/H4)-1</f>
        <v>0.05680361702779635</v>
      </c>
      <c r="O7" s="59"/>
      <c r="P7" s="59"/>
      <c r="Q7" s="59"/>
      <c r="R7" s="59"/>
      <c r="S7" s="59"/>
      <c r="T7" s="59">
        <f>IF($A$1=5,"May","")</f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2.75">
      <c r="A8" s="21" t="s">
        <v>54</v>
      </c>
      <c r="B8" s="48">
        <f>+K1+405.64</f>
        <v>1368482.9200000004</v>
      </c>
      <c r="C8" s="48">
        <f>+L1</f>
        <v>2992750.59</v>
      </c>
      <c r="D8" s="48">
        <f>+M1</f>
        <v>2598683.4499999997</v>
      </c>
      <c r="E8" s="53" t="s">
        <v>59</v>
      </c>
      <c r="F8" s="48">
        <f>+N1</f>
        <v>1272277.96</v>
      </c>
      <c r="G8" s="48">
        <f>+O1</f>
        <v>2413897.33</v>
      </c>
      <c r="H8" s="48">
        <f>+P1</f>
        <v>2361186.92</v>
      </c>
      <c r="I8" s="22"/>
      <c r="O8" s="59"/>
      <c r="P8" s="59"/>
      <c r="Q8" s="59"/>
      <c r="R8" s="59"/>
      <c r="S8" s="59"/>
      <c r="T8" s="59">
        <f>IF($A$1=6,"June","")</f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2.75">
      <c r="A9" s="21" t="s">
        <v>56</v>
      </c>
      <c r="B9" s="51">
        <f>+(B8/C8)-1</f>
        <v>-0.5427340572339506</v>
      </c>
      <c r="C9" s="51"/>
      <c r="D9" s="56"/>
      <c r="E9" s="53" t="s">
        <v>56</v>
      </c>
      <c r="F9" s="51">
        <f>+(F8/G8)-1</f>
        <v>-0.4729361749615093</v>
      </c>
      <c r="G9" s="56"/>
      <c r="H9" s="56"/>
      <c r="O9" s="59"/>
      <c r="P9" s="59"/>
      <c r="Q9" s="59"/>
      <c r="R9" s="59"/>
      <c r="S9" s="59"/>
      <c r="T9" s="59">
        <f>IF($A$1=7,"July","")</f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2.75">
      <c r="A10" s="21" t="s">
        <v>57</v>
      </c>
      <c r="B10" s="51"/>
      <c r="C10" s="51">
        <f>+(B8/D8)-1</f>
        <v>-0.4733937602134648</v>
      </c>
      <c r="D10" s="56"/>
      <c r="E10" s="53" t="s">
        <v>57</v>
      </c>
      <c r="F10" s="56"/>
      <c r="G10" s="51">
        <f>+(F8/H8)-1</f>
        <v>-0.46117016436801195</v>
      </c>
      <c r="H10" s="56"/>
      <c r="O10" s="59"/>
      <c r="P10" s="59"/>
      <c r="Q10" s="59"/>
      <c r="R10" s="59"/>
      <c r="S10" s="59"/>
      <c r="T10" s="59">
        <f>IF($A$1=8,"August","")</f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2.75">
      <c r="A11" s="21" t="s">
        <v>60</v>
      </c>
      <c r="B11" s="49"/>
      <c r="C11" s="51"/>
      <c r="D11" s="51">
        <f>+(C8/D8)-1</f>
        <v>0.1516410704043234</v>
      </c>
      <c r="E11" s="53" t="s">
        <v>60</v>
      </c>
      <c r="F11" s="56"/>
      <c r="G11" s="56"/>
      <c r="H11" s="51">
        <f>+(G8/H8)-1</f>
        <v>0.022323692187825595</v>
      </c>
      <c r="O11" s="59"/>
      <c r="P11" s="59"/>
      <c r="Q11" s="59"/>
      <c r="R11" s="59"/>
      <c r="S11" s="59"/>
      <c r="T11" s="59" t="str">
        <f>IF($A$1=9,"September","")</f>
        <v>September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2:31" ht="12.75">
      <c r="B12" s="52"/>
      <c r="C12" s="52"/>
      <c r="D12" s="52"/>
      <c r="E12" s="52"/>
      <c r="F12" s="52"/>
      <c r="G12" s="52"/>
      <c r="H12" s="52"/>
      <c r="O12" s="59"/>
      <c r="P12" s="59"/>
      <c r="Q12" s="59"/>
      <c r="R12" s="59"/>
      <c r="S12" s="59"/>
      <c r="T12" s="59">
        <f>IF($A$1=10,"October","")</f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5:31" ht="12.75">
      <c r="O13" s="59"/>
      <c r="P13" s="59"/>
      <c r="Q13" s="59"/>
      <c r="R13" s="59"/>
      <c r="S13" s="59"/>
      <c r="T13" s="59">
        <f>IF($A$1=11,"November","")</f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2:31" ht="12.75">
      <c r="B14" t="str">
        <f>+A4</f>
        <v>Convention Tax</v>
      </c>
      <c r="C14" t="str">
        <f>+A8</f>
        <v>Tourist Tax (Transient Taxes) </v>
      </c>
      <c r="D14" t="str">
        <f>+E4</f>
        <v>Tourist Tax (Food and Bev.)</v>
      </c>
      <c r="E14" t="str">
        <f>+E8</f>
        <v>Homeless Taxes</v>
      </c>
      <c r="F14" t="s">
        <v>61</v>
      </c>
      <c r="G14" t="s">
        <v>71</v>
      </c>
      <c r="H14" t="s">
        <v>72</v>
      </c>
      <c r="O14" s="59"/>
      <c r="P14" s="59"/>
      <c r="Q14" s="59"/>
      <c r="R14" s="59"/>
      <c r="S14" s="59"/>
      <c r="T14" s="59">
        <f>IF($A$1=12,"December","")</f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2.75">
      <c r="A15">
        <f>+B1</f>
        <v>2020</v>
      </c>
      <c r="B15" s="23">
        <f>+E1</f>
        <v>2338268.12</v>
      </c>
      <c r="C15" s="23">
        <f>+K1</f>
        <v>1368077.2800000005</v>
      </c>
      <c r="D15" s="23">
        <f>+H1</f>
        <v>128918.46</v>
      </c>
      <c r="E15" s="23">
        <f>+N1</f>
        <v>1272277.96</v>
      </c>
      <c r="F15" s="23">
        <f>SUM(B15:E15)</f>
        <v>5107541.82</v>
      </c>
      <c r="G15" s="23">
        <f>+B15+C15</f>
        <v>3706345.4000000004</v>
      </c>
      <c r="H15" s="23">
        <f>+D15+E15</f>
        <v>1401196.42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2.75">
      <c r="A16">
        <f>+C3</f>
        <v>2019</v>
      </c>
      <c r="B16" s="23">
        <f>+F1</f>
        <v>5401589.98</v>
      </c>
      <c r="C16" s="23">
        <f>+L1</f>
        <v>2992750.59</v>
      </c>
      <c r="D16" s="23">
        <f>+I1</f>
        <v>536638.24</v>
      </c>
      <c r="E16" s="23">
        <f>+O1</f>
        <v>2413897.33</v>
      </c>
      <c r="F16" s="23">
        <f>SUM(B16:E16)</f>
        <v>11344876.14</v>
      </c>
      <c r="G16" s="23">
        <f>+B16+C16</f>
        <v>8394340.57</v>
      </c>
      <c r="H16" s="23">
        <f>+D16+E16</f>
        <v>2950535.5700000003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2.75">
      <c r="A17" s="10">
        <f>+D3</f>
        <v>2018</v>
      </c>
      <c r="B17" s="23">
        <f>+G1</f>
        <v>5517471.54</v>
      </c>
      <c r="C17" s="23">
        <f>+M1</f>
        <v>2598683.4499999997</v>
      </c>
      <c r="D17" s="23">
        <f>+J1</f>
        <v>507793.72</v>
      </c>
      <c r="E17" s="23">
        <f>+P1</f>
        <v>2361186.92</v>
      </c>
      <c r="F17" s="23">
        <f>SUM(B17:E17)</f>
        <v>10985135.63</v>
      </c>
      <c r="G17" s="23">
        <f>+B17+C17</f>
        <v>8116154.99</v>
      </c>
      <c r="H17" s="23">
        <f>+D17+E17</f>
        <v>2868980.6399999997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5:31" ht="12.75"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5:31" ht="12.75"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5:31" ht="12.75"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5:31" ht="12.75"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5:31" ht="12.75"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5:31" ht="12.75"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5:31" ht="12.75"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5:31" ht="12.75"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39" spans="2:4" ht="12.75">
      <c r="B39" s="23"/>
      <c r="C39" s="23"/>
      <c r="D39" s="23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2019-08-14T17:24:47Z</cp:lastPrinted>
  <dcterms:created xsi:type="dcterms:W3CDTF">1996-10-14T23:33:28Z</dcterms:created>
  <dcterms:modified xsi:type="dcterms:W3CDTF">2020-10-05T14:52:11Z</dcterms:modified>
  <cp:category/>
  <cp:version/>
  <cp:contentType/>
  <cp:contentStatus/>
</cp:coreProperties>
</file>