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6360" windowWidth="13440" windowHeight="6495" tabRatio="941" activeTab="3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HomelessTaxTable" sheetId="5" r:id="rId5"/>
    <sheet name="SlotMachineTable" sheetId="6" r:id="rId6"/>
  </sheet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#REF!</definedName>
    <definedName name="_xlnm.Print_Area" localSheetId="0">'ConventionTaxTable'!$A$51:$L$60</definedName>
    <definedName name="_xlnm.Print_Area" localSheetId="3">'FoodandBeverageTaxTable'!$A$85:$G$94</definedName>
    <definedName name="_xlnm.Print_Area" localSheetId="4">'HomelessTaxTable'!$E$6:$E$18</definedName>
    <definedName name="_xlnm.Print_Area" localSheetId="5">'SlotMachineTable'!$A$1:$C$19</definedName>
    <definedName name="_xlnm.Print_Area" localSheetId="2">'SportsTaxTable'!$A$51:$I$60</definedName>
    <definedName name="_xlnm.Print_Area" localSheetId="1">'TouristTaxTable'!$A$86:$I$94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#REF!</definedName>
  </definedNames>
  <calcPr fullCalcOnLoad="1"/>
</workbook>
</file>

<file path=xl/sharedStrings.xml><?xml version="1.0" encoding="utf-8"?>
<sst xmlns="http://schemas.openxmlformats.org/spreadsheetml/2006/main" count="310" uniqueCount="135">
  <si>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</si>
  <si>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</si>
  <si>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</si>
  <si>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</si>
  <si>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</si>
  <si>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</si>
  <si>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</si>
  <si>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</si>
  <si>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</si>
  <si>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</si>
  <si>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</si>
  <si>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</si>
  <si>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</si>
  <si>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</si>
  <si>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</si>
  <si>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</si>
  <si>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</si>
  <si>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</si>
  <si>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</si>
  <si>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</si>
  <si>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</si>
  <si>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</si>
  <si>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</si>
  <si>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</si>
  <si>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</si>
  <si>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</si>
  <si>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</si>
  <si>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</si>
  <si>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</si>
  <si>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</si>
  <si>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</si>
  <si>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</si>
  <si>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</si>
  <si>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</si>
  <si>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</si>
  <si>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</si>
  <si>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</si>
  <si>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</si>
  <si>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</si>
  <si>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</si>
  <si>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</si>
  <si>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</si>
  <si>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</si>
  <si>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</si>
  <si>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</si>
  <si>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</si>
  <si>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</si>
  <si>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</si>
  <si>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</si>
  <si>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</si>
  <si>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</si>
  <si>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</si>
  <si>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</si>
  <si>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</si>
  <si>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>Total</t>
  </si>
  <si>
    <t>TDC 800,000</t>
  </si>
  <si>
    <t>Qtr.</t>
  </si>
  <si>
    <t>Quarterly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</si>
  <si>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</si>
  <si>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</si>
  <si>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</si>
  <si>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</si>
  <si>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>Totals</t>
  </si>
  <si>
    <t xml:space="preserve"> TOTAL</t>
  </si>
  <si>
    <t>.</t>
  </si>
  <si>
    <t>Subfund 162</t>
  </si>
  <si>
    <t xml:space="preserve">Distribution to </t>
  </si>
  <si>
    <t>Cultural Affiars</t>
  </si>
  <si>
    <t>Miami Dade</t>
  </si>
  <si>
    <t>2008-2009</t>
  </si>
  <si>
    <t xml:space="preserve"> 2008-2009</t>
  </si>
  <si>
    <t>19.50%</t>
  </si>
  <si>
    <t>18.03%</t>
  </si>
  <si>
    <t>TDC 975,000</t>
  </si>
  <si>
    <t>16.57%</t>
  </si>
  <si>
    <t>11.00%</t>
  </si>
  <si>
    <t>11.95%</t>
  </si>
  <si>
    <t>10.49%</t>
  </si>
  <si>
    <t>23.65%</t>
  </si>
  <si>
    <t>5.50%</t>
  </si>
  <si>
    <t>16.94%</t>
  </si>
  <si>
    <t>4.05%</t>
  </si>
  <si>
    <t>-12.72%</t>
  </si>
  <si>
    <t>20.11%</t>
  </si>
  <si>
    <t>Metropolitan Dade County - Slot Machine Tax</t>
  </si>
  <si>
    <t xml:space="preserve">1 1/2 % Tax </t>
  </si>
  <si>
    <t>Fiscal Year</t>
  </si>
  <si>
    <t>18.34%</t>
  </si>
  <si>
    <t>27.34%</t>
  </si>
  <si>
    <t>31.76%</t>
  </si>
  <si>
    <t>9.39%</t>
  </si>
  <si>
    <t>0.04%</t>
  </si>
  <si>
    <t>38.46%</t>
  </si>
  <si>
    <t>Internet Assessment</t>
  </si>
  <si>
    <t>Net Minus Internet</t>
  </si>
  <si>
    <t>2011 Net</t>
  </si>
  <si>
    <t>-18.89%</t>
  </si>
  <si>
    <t>3.46%</t>
  </si>
  <si>
    <t>Calder used a credit of</t>
  </si>
  <si>
    <t>from an allowed credit of</t>
  </si>
  <si>
    <t>from the Feb amount of</t>
  </si>
  <si>
    <t>The amount of</t>
  </si>
  <si>
    <t>** See Note</t>
  </si>
  <si>
    <t>** Calder is using the remaing credit of</t>
  </si>
  <si>
    <t>-0.69%</t>
  </si>
  <si>
    <t>5.59%</t>
  </si>
  <si>
    <t>Minus Internet</t>
  </si>
  <si>
    <t>25.60%</t>
  </si>
  <si>
    <t>19.19%</t>
  </si>
  <si>
    <t>13.68%</t>
  </si>
  <si>
    <t>13.97%</t>
  </si>
  <si>
    <t>23.74%</t>
  </si>
  <si>
    <t>6.10%</t>
  </si>
  <si>
    <t>will be posted on May</t>
  </si>
  <si>
    <t>37.22%</t>
  </si>
  <si>
    <t>25.01%</t>
  </si>
  <si>
    <t>19.28%</t>
  </si>
  <si>
    <t>21.32%</t>
  </si>
  <si>
    <t>14.27%</t>
  </si>
  <si>
    <t>10.52%</t>
  </si>
  <si>
    <t>12.32%</t>
  </si>
  <si>
    <t>16.16%</t>
  </si>
  <si>
    <t>17.21%</t>
  </si>
  <si>
    <t>11.75%</t>
  </si>
  <si>
    <t>16.85%</t>
  </si>
  <si>
    <t>10.72%</t>
  </si>
  <si>
    <t>23.75%</t>
  </si>
  <si>
    <t>17.25%</t>
  </si>
  <si>
    <t>14.46%</t>
  </si>
  <si>
    <t>10.12%</t>
  </si>
  <si>
    <t>Includes Calder form August</t>
  </si>
  <si>
    <t>29.33%</t>
  </si>
  <si>
    <t>22.85%</t>
  </si>
  <si>
    <t>36.76%</t>
  </si>
  <si>
    <t>12.96%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</si>
</sst>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#,##0.000000000000000"/>
    <numFmt numFmtId="178" formatCode="\$#,##0"/>
    <numFmt numFmtId="179" formatCode="\$#,##0;\-0;;@\ "/>
    <numFmt numFmtId="180" formatCode="\$#,##0_);[Red]\(\$#,##0\)"/>
    <numFmt numFmtId="181" formatCode="\$##,#00;\-0;;@\ "/>
    <numFmt numFmtId="182" formatCode="0.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sz val="23"/>
      <color indexed="8"/>
      <name val="Arial"/>
      <family val="0"/>
    </font>
    <font>
      <sz val="9.2"/>
      <color indexed="8"/>
      <name val="Arial"/>
      <family val="0"/>
    </font>
    <font>
      <sz val="19.5"/>
      <color indexed="8"/>
      <name val="Arial"/>
      <family val="0"/>
    </font>
    <font>
      <sz val="7.35"/>
      <color indexed="8"/>
      <name val="Arial"/>
      <family val="0"/>
    </font>
    <font>
      <sz val="20.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20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3"/>
      <color indexed="8"/>
      <name val="Arial"/>
      <family val="0"/>
    </font>
    <font>
      <b/>
      <sz val="27.5"/>
      <color indexed="8"/>
      <name val="Arial"/>
      <family val="0"/>
    </font>
    <font>
      <b/>
      <sz val="21.75"/>
      <color indexed="8"/>
      <name val="Arial"/>
      <family val="0"/>
    </font>
    <font>
      <b/>
      <sz val="23.5"/>
      <color indexed="8"/>
      <name val="Arial"/>
      <family val="0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b/>
      <sz val="20"/>
      <color indexed="8"/>
      <name val="Arial"/>
      <family val="0"/>
    </font>
    <font>
      <b/>
      <sz val="23.75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8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0" fillId="25" borderId="0" xfId="0" applyFill="1" applyAlignment="1">
      <alignment/>
    </xf>
    <xf numFmtId="8" fontId="0" fillId="25" borderId="0" xfId="0" applyNumberFormat="1" applyFill="1" applyAlignment="1">
      <alignment/>
    </xf>
    <xf numFmtId="10" fontId="0" fillId="2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8" borderId="0" xfId="0" applyFill="1" applyAlignment="1">
      <alignment/>
    </xf>
    <xf numFmtId="8" fontId="0" fillId="8" borderId="0" xfId="0" applyNumberFormat="1" applyFill="1" applyAlignment="1">
      <alignment/>
    </xf>
    <xf numFmtId="0" fontId="1" fillId="27" borderId="0" xfId="0" applyFont="1" applyFill="1" applyAlignment="1">
      <alignment/>
    </xf>
    <xf numFmtId="0" fontId="0" fillId="28" borderId="0" xfId="0" applyFill="1" applyAlignment="1">
      <alignment/>
    </xf>
    <xf numFmtId="8" fontId="0" fillId="28" borderId="0" xfId="0" applyNumberFormat="1" applyFill="1" applyAlignment="1">
      <alignment/>
    </xf>
    <xf numFmtId="10" fontId="0" fillId="28" borderId="0" xfId="0" applyNumberFormat="1" applyFill="1" applyAlignment="1">
      <alignment/>
    </xf>
    <xf numFmtId="10" fontId="0" fillId="8" borderId="0" xfId="0" applyNumberFormat="1" applyFill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9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6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24" borderId="0" xfId="0" applyNumberFormat="1" applyFill="1" applyAlignment="1">
      <alignment/>
    </xf>
    <xf numFmtId="10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65" fontId="0" fillId="27" borderId="0" xfId="0" applyNumberFormat="1" applyFill="1" applyAlignment="1">
      <alignment/>
    </xf>
    <xf numFmtId="10" fontId="0" fillId="27" borderId="0" xfId="0" applyNumberFormat="1" applyFill="1" applyAlignment="1">
      <alignment/>
    </xf>
    <xf numFmtId="165" fontId="0" fillId="29" borderId="10" xfId="0" applyNumberFormat="1" applyFill="1" applyBorder="1" applyAlignment="1">
      <alignment/>
    </xf>
    <xf numFmtId="0" fontId="4" fillId="0" borderId="0" xfId="0" applyFont="1" applyAlignment="1">
      <alignment/>
    </xf>
    <xf numFmtId="165" fontId="0" fillId="8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29" borderId="11" xfId="0" applyFill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75" fontId="5" fillId="0" borderId="0" xfId="0" applyNumberFormat="1" applyFont="1" applyFill="1" applyAlignment="1">
      <alignment horizontal="right"/>
    </xf>
    <xf numFmtId="165" fontId="0" fillId="22" borderId="0" xfId="0" applyNumberFormat="1" applyFill="1" applyAlignment="1">
      <alignment/>
    </xf>
    <xf numFmtId="1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82" fontId="3" fillId="0" borderId="0" xfId="0" applyNumberFormat="1" applyFont="1" applyFill="1" applyAlignment="1">
      <alignment horizontal="right"/>
    </xf>
    <xf numFmtId="17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0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105"/>
          <c:w val="0.8032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2010 - 2011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ConventionTaxTable!$C$6:$C$17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2009 - 2010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838348"/>
        <c:axId val="32000813"/>
      </c:barChart>
      <c:catAx>
        <c:axId val="4083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0813"/>
        <c:crosses val="autoZero"/>
        <c:auto val="1"/>
        <c:lblOffset val="100"/>
        <c:noMultiLvlLbl val="0"/>
      </c:catAx>
      <c:valAx>
        <c:axId val="32000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8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2"/>
          <c:y val="0.048"/>
          <c:w val="0.0812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"/>
          <c:w val="0.836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2010 - 2011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TouristTaxTable!$O$6:$O$17</c:f>
              <c:strCache/>
            </c:strRef>
          </c:cat>
          <c:val>
            <c:numRef>
              <c:f>TouristTaxTable!$C$6:$C$17</c:f>
              <c:numCache/>
            </c:numRef>
          </c:val>
        </c:ser>
        <c:ser>
          <c:idx val="1"/>
          <c:order val="1"/>
          <c:tx>
            <c:strRef>
              <c:f>TouristTaxTable!$O$2:$Q$2</c:f>
              <c:strCache>
                <c:ptCount val="1"/>
                <c:pt idx="0">
                  <c:v>2009 - 2010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TouristTaxTable!$V$6:$V$17</c:f>
              <c:numCache/>
            </c:numRef>
          </c:val>
        </c:ser>
        <c:ser>
          <c:idx val="2"/>
          <c:order val="2"/>
          <c:tx>
            <c:strRef>
              <c:f>TouristTaxTable!$O$3</c:f>
              <c:strCache>
                <c:ptCount val="1"/>
                <c:pt idx="0">
                  <c:v>2011 Net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TouristTaxTable!$W$6:$W$16</c:f>
              <c:numCache/>
            </c:numRef>
          </c:val>
        </c:ser>
        <c:axId val="19571862"/>
        <c:axId val="41929031"/>
      </c:barChart>
      <c:dateAx>
        <c:axId val="19571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903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929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1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059"/>
          <c:w val="0.12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35"/>
          <c:w val="0.761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2010 - 2011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SportsTaxTable!$O$6:$O$17</c:f>
              <c:strCache/>
            </c:strRef>
          </c:cat>
          <c:val>
            <c:numRef>
              <c:f>SportsTaxTable!$C$6:$C$17</c:f>
              <c:numCache/>
            </c:numRef>
          </c:val>
        </c:ser>
        <c:ser>
          <c:idx val="1"/>
          <c:order val="1"/>
          <c:tx>
            <c:strRef>
              <c:f>SportsTaxTable!$N$3:$P$3</c:f>
              <c:strCache>
                <c:ptCount val="1"/>
                <c:pt idx="0">
                  <c:v>2009 - 2010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SportsTaxTable!$T$6:$T$17</c:f>
              <c:numCache/>
            </c:numRef>
          </c:val>
        </c:ser>
        <c:ser>
          <c:idx val="2"/>
          <c:order val="2"/>
          <c:tx>
            <c:strRef>
              <c:f>SportsTaxTable!$N$4</c:f>
              <c:strCache>
                <c:ptCount val="1"/>
                <c:pt idx="0">
                  <c:v>2011 Net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SportsTaxTable!$U$6:$U$16</c:f>
              <c:numCache/>
            </c:numRef>
          </c:val>
        </c:ser>
        <c:axId val="41816960"/>
        <c:axId val="40808321"/>
      </c:barChart>
      <c:dateAx>
        <c:axId val="41816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0832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80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6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01275"/>
          <c:w val="0.139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2"/>
          <c:w val="0.782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2010 - 2011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/>
            </c:strRef>
          </c:cat>
          <c:val>
            <c:numRef>
              <c:f>FoodandBeverageTaxTable!$C$6:$C$17</c:f>
              <c:numCache/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2009 - 2010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/>
            </c:numRef>
          </c:val>
        </c:ser>
        <c:axId val="31730570"/>
        <c:axId val="17139675"/>
      </c:barChart>
      <c:dateAx>
        <c:axId val="3173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967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13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"/>
          <c:y val="0.03525"/>
          <c:w val="0.118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05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15"/>
          <c:w val="0.791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2010 - 2011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HomelessTaxTable!$C$7:$C$18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2009 - 2010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039348"/>
        <c:axId val="46136405"/>
      </c:barChart>
      <c:catAx>
        <c:axId val="2003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36405"/>
        <c:crosses val="autoZero"/>
        <c:auto val="1"/>
        <c:lblOffset val="100"/>
        <c:noMultiLvlLbl val="0"/>
      </c:catAx>
      <c:valAx>
        <c:axId val="46136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9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375"/>
          <c:y val="0.0315"/>
          <c:w val="0.0957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041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9</xdr:col>
      <xdr:colOff>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9050" y="652462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95250</xdr:rowOff>
    </xdr:from>
    <xdr:to>
      <xdr:col>9</xdr:col>
      <xdr:colOff>95250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66675" y="3390900"/>
        <a:ext cx="76676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7</xdr:col>
      <xdr:colOff>504825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0" y="6534150"/>
        <a:ext cx="7096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9525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086100"/>
        <a:ext cx="8848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16.00390625" style="0" customWidth="1"/>
    <col min="5" max="5" width="17.00390625" style="0" customWidth="1"/>
    <col min="8" max="8" width="10.710937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0" bestFit="1" customWidth="1"/>
  </cols>
  <sheetData>
    <row r="1" spans="1:23" ht="12.75">
      <c r="A1" s="4"/>
      <c r="B1" s="4"/>
      <c r="C1" s="4" t="s">
        <v>0</v>
      </c>
      <c r="D1" s="4"/>
      <c r="E1" s="4"/>
      <c r="F1" s="4"/>
      <c r="G1" s="4"/>
      <c r="H1" s="4"/>
      <c r="U1">
        <f>+D3-1</f>
        <v>2009</v>
      </c>
      <c r="V1" t="s">
        <v>3</v>
      </c>
      <c r="W1">
        <f>+D3</f>
        <v>2010</v>
      </c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4" t="s">
        <v>2</v>
      </c>
      <c r="B3" s="4"/>
      <c r="C3" s="4"/>
      <c r="D3" s="4">
        <f>+B6</f>
        <v>2010</v>
      </c>
      <c r="E3" s="4" t="s">
        <v>3</v>
      </c>
      <c r="F3" s="4">
        <f>+B6+1</f>
        <v>2011</v>
      </c>
      <c r="G3" s="4"/>
      <c r="H3" s="4"/>
    </row>
    <row r="4" spans="1:7" ht="12.75">
      <c r="A4" t="s">
        <v>4</v>
      </c>
      <c r="C4" t="s">
        <v>5</v>
      </c>
      <c r="D4" t="s">
        <v>6</v>
      </c>
      <c r="E4" t="s">
        <v>66</v>
      </c>
      <c r="F4" t="s">
        <v>8</v>
      </c>
      <c r="G4" t="s">
        <v>9</v>
      </c>
    </row>
    <row r="5" spans="1:8" ht="12.75">
      <c r="A5" t="s">
        <v>14</v>
      </c>
      <c r="B5" t="s">
        <v>15</v>
      </c>
      <c r="E5" t="s">
        <v>65</v>
      </c>
      <c r="G5" t="s">
        <v>14</v>
      </c>
      <c r="H5" t="s">
        <v>15</v>
      </c>
    </row>
    <row r="6" spans="1:21" ht="12.75">
      <c r="A6" s="45">
        <v>10</v>
      </c>
      <c r="B6" s="45">
        <v>2010</v>
      </c>
      <c r="C6" s="47">
        <v>2655083.81</v>
      </c>
      <c r="D6" s="47">
        <v>53101.68</v>
      </c>
      <c r="E6" s="47">
        <v>2601982.13</v>
      </c>
      <c r="F6" s="48" t="s">
        <v>71</v>
      </c>
      <c r="G6" s="45">
        <v>11</v>
      </c>
      <c r="H6" s="45">
        <v>2010</v>
      </c>
      <c r="I6" s="61">
        <v>867327.38</v>
      </c>
      <c r="J6" s="61">
        <v>0</v>
      </c>
      <c r="K6" s="61">
        <v>867327.38</v>
      </c>
      <c r="L6" s="61">
        <v>1734654.76</v>
      </c>
      <c r="M6" s="52"/>
      <c r="O6">
        <f>IF(A6&gt;0,1,0)</f>
        <v>1</v>
      </c>
      <c r="P6" s="23">
        <f>IF(O6=1,DATE(B6,A6,1),"")</f>
        <v>40452</v>
      </c>
      <c r="T6" s="24">
        <f aca="true" t="shared" si="0" ref="T6:T16">IF(O6=1,(F6+1),"")</f>
        <v>1.195</v>
      </c>
      <c r="U6" s="22">
        <f>IF(O6=1,C6/T6,"")</f>
        <v>2221827.4560669456</v>
      </c>
    </row>
    <row r="7" spans="1:21" ht="12.75">
      <c r="A7" s="45">
        <v>11</v>
      </c>
      <c r="B7" s="45">
        <v>2010</v>
      </c>
      <c r="C7" s="47">
        <v>3122244.76</v>
      </c>
      <c r="D7" s="47">
        <v>62444.9</v>
      </c>
      <c r="E7" s="47">
        <v>3059799.86</v>
      </c>
      <c r="F7" s="48" t="s">
        <v>76</v>
      </c>
      <c r="G7" s="45">
        <v>12</v>
      </c>
      <c r="H7" s="45">
        <v>2010</v>
      </c>
      <c r="I7" s="47"/>
      <c r="J7" s="47"/>
      <c r="K7" s="47"/>
      <c r="L7" s="47"/>
      <c r="O7">
        <f aca="true" t="shared" si="1" ref="O7:O17">IF(A7&gt;0,1,0)</f>
        <v>1</v>
      </c>
      <c r="P7" s="23">
        <f aca="true" t="shared" si="2" ref="P7:P17">IF(O7=1,DATE(B7,A7,1),"")</f>
        <v>40483</v>
      </c>
      <c r="T7" s="24">
        <f t="shared" si="0"/>
        <v>1.1195</v>
      </c>
      <c r="U7" s="22">
        <f aca="true" t="shared" si="3" ref="U7:U16">IF(O7=1,C7/T7,"")</f>
        <v>2788963.608753908</v>
      </c>
    </row>
    <row r="8" spans="1:21" ht="12.75">
      <c r="A8" s="45">
        <v>12</v>
      </c>
      <c r="B8" s="45">
        <v>2010</v>
      </c>
      <c r="C8" s="47">
        <v>3816378.74</v>
      </c>
      <c r="D8" s="47">
        <v>76327.57</v>
      </c>
      <c r="E8" s="47">
        <v>3740051.17</v>
      </c>
      <c r="F8" s="48" t="s">
        <v>80</v>
      </c>
      <c r="G8" s="45">
        <v>1</v>
      </c>
      <c r="H8" s="45">
        <v>2011</v>
      </c>
      <c r="I8" s="29"/>
      <c r="J8" s="29"/>
      <c r="K8" s="29"/>
      <c r="L8" s="29"/>
      <c r="O8">
        <f>IF(A8&gt;0,1,0)</f>
        <v>1</v>
      </c>
      <c r="P8" s="23">
        <f>IF(O8=1,DATE(B8,A8,1),"")</f>
        <v>40513</v>
      </c>
      <c r="T8" s="24">
        <f>IF(O8=1,(F8+1),"")</f>
        <v>1.1694</v>
      </c>
      <c r="U8" s="22">
        <f>IF(O8=1,C8/T8,"")</f>
        <v>3263535.7790319826</v>
      </c>
    </row>
    <row r="9" spans="1:21" ht="12.75">
      <c r="A9" s="45">
        <v>1</v>
      </c>
      <c r="B9" s="45">
        <v>2011</v>
      </c>
      <c r="C9" s="47">
        <v>4803061.62</v>
      </c>
      <c r="D9" s="47">
        <v>96061.23</v>
      </c>
      <c r="E9" s="47">
        <v>4707000.39</v>
      </c>
      <c r="F9" s="48" t="s">
        <v>87</v>
      </c>
      <c r="G9" s="45">
        <v>2</v>
      </c>
      <c r="H9" s="45">
        <v>2011</v>
      </c>
      <c r="I9" s="29"/>
      <c r="J9" s="29"/>
      <c r="K9" s="29"/>
      <c r="L9" s="29"/>
      <c r="O9">
        <f t="shared" si="1"/>
        <v>1</v>
      </c>
      <c r="P9" s="23">
        <f t="shared" si="2"/>
        <v>40544</v>
      </c>
      <c r="T9" s="24">
        <f t="shared" si="0"/>
        <v>1.1834</v>
      </c>
      <c r="U9" s="22">
        <f t="shared" si="3"/>
        <v>4058696.65370965</v>
      </c>
    </row>
    <row r="10" spans="1:21" ht="12.75">
      <c r="A10" s="45">
        <v>2</v>
      </c>
      <c r="B10" s="45">
        <v>2011</v>
      </c>
      <c r="C10" s="47">
        <v>4784567.21</v>
      </c>
      <c r="D10" s="47">
        <v>95691.34</v>
      </c>
      <c r="E10" s="47">
        <v>4688875.87</v>
      </c>
      <c r="F10" s="48" t="s">
        <v>91</v>
      </c>
      <c r="G10" s="45">
        <v>3</v>
      </c>
      <c r="H10" s="45">
        <v>2011</v>
      </c>
      <c r="I10" s="29"/>
      <c r="J10" s="29"/>
      <c r="K10" s="29"/>
      <c r="L10" s="29"/>
      <c r="O10">
        <f t="shared" si="1"/>
        <v>1</v>
      </c>
      <c r="P10" s="23">
        <f t="shared" si="2"/>
        <v>40575</v>
      </c>
      <c r="T10" s="24">
        <f t="shared" si="0"/>
        <v>1.0004</v>
      </c>
      <c r="U10" s="22">
        <f t="shared" si="3"/>
        <v>4782654.148340664</v>
      </c>
    </row>
    <row r="11" spans="1:21" ht="12.75">
      <c r="A11" s="45">
        <v>3</v>
      </c>
      <c r="B11" s="45">
        <v>2011</v>
      </c>
      <c r="C11" s="47">
        <v>5825825.27</v>
      </c>
      <c r="D11" s="47">
        <v>116516.51</v>
      </c>
      <c r="E11" s="47">
        <v>5709308.76</v>
      </c>
      <c r="F11" s="48" t="s">
        <v>104</v>
      </c>
      <c r="G11" s="45">
        <v>4</v>
      </c>
      <c r="H11" s="45">
        <v>2011</v>
      </c>
      <c r="I11" s="29"/>
      <c r="J11" s="29"/>
      <c r="K11" s="29"/>
      <c r="L11" s="29"/>
      <c r="N11" s="44"/>
      <c r="O11">
        <f t="shared" si="1"/>
        <v>1</v>
      </c>
      <c r="P11" s="23">
        <f t="shared" si="2"/>
        <v>40603</v>
      </c>
      <c r="T11" s="24">
        <f t="shared" si="0"/>
        <v>0.9931</v>
      </c>
      <c r="U11" s="22">
        <f t="shared" si="3"/>
        <v>5866302.759037358</v>
      </c>
    </row>
    <row r="12" spans="1:21" ht="12.75">
      <c r="A12" s="45">
        <v>4</v>
      </c>
      <c r="B12" s="45">
        <v>2011</v>
      </c>
      <c r="C12" s="47">
        <v>6556323.86</v>
      </c>
      <c r="D12" s="47">
        <v>131126.48</v>
      </c>
      <c r="E12" s="47">
        <v>6425197.38</v>
      </c>
      <c r="F12" s="48" t="s">
        <v>109</v>
      </c>
      <c r="G12" s="45">
        <v>5</v>
      </c>
      <c r="H12" s="45">
        <v>2011</v>
      </c>
      <c r="I12" s="29"/>
      <c r="J12" s="29"/>
      <c r="K12" s="29"/>
      <c r="L12" s="29"/>
      <c r="O12">
        <f t="shared" si="1"/>
        <v>1</v>
      </c>
      <c r="P12" s="23">
        <f t="shared" si="2"/>
        <v>40634</v>
      </c>
      <c r="T12" s="24">
        <f t="shared" si="0"/>
        <v>1.1368</v>
      </c>
      <c r="U12" s="22">
        <f>IF(O12=1,C12/T12,"")</f>
        <v>5767350.33427164</v>
      </c>
    </row>
    <row r="13" spans="1:21" ht="12.75">
      <c r="A13" s="45">
        <v>5</v>
      </c>
      <c r="B13" s="45">
        <v>2011</v>
      </c>
      <c r="C13" s="47">
        <v>5598071.04</v>
      </c>
      <c r="D13" s="47">
        <v>111961.42</v>
      </c>
      <c r="E13" s="47">
        <v>5486109.62</v>
      </c>
      <c r="F13" s="48" t="s">
        <v>114</v>
      </c>
      <c r="G13" s="45">
        <v>6</v>
      </c>
      <c r="H13" s="45">
        <v>2011</v>
      </c>
      <c r="I13" s="29"/>
      <c r="J13" s="29"/>
      <c r="K13" s="29"/>
      <c r="L13" s="29"/>
      <c r="O13">
        <f t="shared" si="1"/>
        <v>1</v>
      </c>
      <c r="P13" s="23">
        <f t="shared" si="2"/>
        <v>40664</v>
      </c>
      <c r="T13" s="24">
        <f t="shared" si="0"/>
        <v>1.3721999999999999</v>
      </c>
      <c r="U13" s="22">
        <f t="shared" si="3"/>
        <v>4079632.006996065</v>
      </c>
    </row>
    <row r="14" spans="1:21" ht="12.75">
      <c r="A14" s="45">
        <v>6</v>
      </c>
      <c r="B14" s="45">
        <v>2011</v>
      </c>
      <c r="C14" s="47">
        <v>4354186.39</v>
      </c>
      <c r="D14" s="47">
        <v>87083.73</v>
      </c>
      <c r="E14" s="47">
        <v>4267102.66</v>
      </c>
      <c r="F14" s="48" t="s">
        <v>118</v>
      </c>
      <c r="G14" s="45">
        <v>7</v>
      </c>
      <c r="H14" s="45">
        <v>2011</v>
      </c>
      <c r="I14" s="29"/>
      <c r="J14" s="29"/>
      <c r="K14" s="29"/>
      <c r="L14" s="29"/>
      <c r="O14">
        <f t="shared" si="1"/>
        <v>1</v>
      </c>
      <c r="P14" s="23">
        <f t="shared" si="2"/>
        <v>40695</v>
      </c>
      <c r="S14" s="2">
        <f>(F6+F7+F8+F9+F10+F11+F12+F13+F14+F15+F16+F17)/O18</f>
        <v>0.16795000000000002</v>
      </c>
      <c r="T14" s="24">
        <f t="shared" si="0"/>
        <v>1.1427</v>
      </c>
      <c r="U14" s="22">
        <f t="shared" si="3"/>
        <v>3810437.0263411216</v>
      </c>
    </row>
    <row r="15" spans="1:21" ht="12.75">
      <c r="A15" s="45">
        <v>7</v>
      </c>
      <c r="B15" s="45">
        <v>2011</v>
      </c>
      <c r="C15" s="47">
        <v>3423321.88</v>
      </c>
      <c r="D15" s="47">
        <v>68466.44</v>
      </c>
      <c r="E15" s="47">
        <v>3354855.44</v>
      </c>
      <c r="F15" s="48" t="s">
        <v>122</v>
      </c>
      <c r="G15" s="45">
        <v>8</v>
      </c>
      <c r="H15" s="45">
        <v>2011</v>
      </c>
      <c r="I15" s="29"/>
      <c r="J15" s="29"/>
      <c r="K15" s="29"/>
      <c r="L15" s="29"/>
      <c r="O15">
        <f t="shared" si="1"/>
        <v>1</v>
      </c>
      <c r="P15" s="23">
        <f t="shared" si="2"/>
        <v>40725</v>
      </c>
      <c r="T15" s="24">
        <f t="shared" si="0"/>
        <v>1.1721</v>
      </c>
      <c r="U15" s="22">
        <f t="shared" si="3"/>
        <v>2920673.901544237</v>
      </c>
    </row>
    <row r="16" spans="1:21" ht="12.75">
      <c r="A16" s="45">
        <v>8</v>
      </c>
      <c r="B16" s="45">
        <v>2011</v>
      </c>
      <c r="C16" s="47">
        <v>4063183.29</v>
      </c>
      <c r="D16" s="47">
        <v>81263.67</v>
      </c>
      <c r="E16" s="47">
        <v>3981919.62</v>
      </c>
      <c r="F16" s="48" t="s">
        <v>126</v>
      </c>
      <c r="G16" s="45">
        <v>9</v>
      </c>
      <c r="H16" s="45">
        <v>2011</v>
      </c>
      <c r="I16" s="29"/>
      <c r="J16" s="29"/>
      <c r="K16" s="29"/>
      <c r="L16" s="29"/>
      <c r="O16">
        <f t="shared" si="1"/>
        <v>1</v>
      </c>
      <c r="P16" s="23">
        <f t="shared" si="2"/>
        <v>40756</v>
      </c>
      <c r="T16" s="24">
        <f t="shared" si="0"/>
        <v>1.2375</v>
      </c>
      <c r="U16" s="22">
        <f t="shared" si="3"/>
        <v>3283380.436363636</v>
      </c>
    </row>
    <row r="17" spans="1:21" ht="12.75">
      <c r="A17" s="45">
        <v>9</v>
      </c>
      <c r="B17" s="45">
        <v>2011</v>
      </c>
      <c r="C17" s="47">
        <v>3697809.65</v>
      </c>
      <c r="D17" s="47">
        <v>73956.19</v>
      </c>
      <c r="E17" s="47">
        <v>3623853.46</v>
      </c>
      <c r="F17" s="48" t="s">
        <v>131</v>
      </c>
      <c r="G17" s="45">
        <v>10</v>
      </c>
      <c r="H17" s="45">
        <v>2011</v>
      </c>
      <c r="I17" s="47"/>
      <c r="J17" s="47"/>
      <c r="K17" s="47"/>
      <c r="L17" s="47"/>
      <c r="O17">
        <f t="shared" si="1"/>
        <v>1</v>
      </c>
      <c r="P17" s="23">
        <f t="shared" si="2"/>
        <v>40787</v>
      </c>
      <c r="T17" s="24">
        <v>1</v>
      </c>
      <c r="U17" s="22">
        <v>0</v>
      </c>
    </row>
    <row r="18" spans="1:21" ht="12.75">
      <c r="A18" s="5"/>
      <c r="B18" s="5"/>
      <c r="C18" s="6">
        <f>SUM(C6:C17)</f>
        <v>52700057.52</v>
      </c>
      <c r="D18" s="6">
        <f>SUM(D6:D17)</f>
        <v>1054001.1600000001</v>
      </c>
      <c r="E18" s="6">
        <f>SUM(E6:E17)</f>
        <v>51646056.36</v>
      </c>
      <c r="F18" s="7">
        <f>(C18/U18)-1</f>
        <v>0.23006089528007978</v>
      </c>
      <c r="G18" s="5"/>
      <c r="H18" s="5"/>
      <c r="I18" s="29"/>
      <c r="J18" s="29"/>
      <c r="K18" s="29"/>
      <c r="L18" s="29"/>
      <c r="O18" s="3">
        <f>SUM(O6:O17)</f>
        <v>12</v>
      </c>
      <c r="T18" s="21"/>
      <c r="U18" s="22">
        <f>SUM(U6:U17)</f>
        <v>42843454.110457204</v>
      </c>
    </row>
    <row r="19" ht="12.75">
      <c r="C19" s="26"/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2</v>
      </c>
      <c r="B53" s="4"/>
      <c r="C53" s="4"/>
      <c r="D53" s="4" t="str">
        <f>+B56</f>
        <v>2008-2009</v>
      </c>
      <c r="E53" s="4" t="s">
        <v>57</v>
      </c>
      <c r="F53" s="4"/>
      <c r="G53" s="4"/>
      <c r="H53" s="4"/>
      <c r="I53" s="4"/>
      <c r="J53" s="4"/>
      <c r="K53" s="4"/>
      <c r="L53" s="4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t="s">
        <v>69</v>
      </c>
      <c r="C56" s="29">
        <f>+C6+C7+C8</f>
        <v>9593707.31</v>
      </c>
      <c r="D56" s="29">
        <f>+D6+D7+D8</f>
        <v>191874.15000000002</v>
      </c>
      <c r="E56" s="29">
        <f>+E6+E7+E8</f>
        <v>9401833.16</v>
      </c>
      <c r="F56" s="30">
        <f>(F6+F7+F8)/O56</f>
        <v>0.1613</v>
      </c>
      <c r="G56" s="28">
        <v>1</v>
      </c>
      <c r="H56" t="str">
        <f>+$B$56</f>
        <v>2008-2009</v>
      </c>
      <c r="I56" s="29">
        <f>+I6+I7+I8</f>
        <v>867327.38</v>
      </c>
      <c r="J56" s="29">
        <f>+J6+J7+J8</f>
        <v>0</v>
      </c>
      <c r="K56" s="29">
        <f>+K6+K7+K8</f>
        <v>867327.38</v>
      </c>
      <c r="L56" s="29">
        <f>+L6+L7+L8</f>
        <v>1734654.76</v>
      </c>
      <c r="O56" s="31">
        <f>+O6+O7+O8</f>
        <v>3</v>
      </c>
    </row>
    <row r="57" spans="1:15" ht="12.75">
      <c r="A57" s="28">
        <v>2</v>
      </c>
      <c r="B57" t="str">
        <f>+$B$56</f>
        <v>2008-2009</v>
      </c>
      <c r="C57" s="29">
        <f>+C9+C10+C11</f>
        <v>15413454.1</v>
      </c>
      <c r="D57" s="29">
        <f>+D9+D10+D11</f>
        <v>308269.08</v>
      </c>
      <c r="E57" s="29">
        <f>+E9+E10+E11</f>
        <v>15105185.02</v>
      </c>
      <c r="F57" s="30">
        <f>(F7+F8+F9)/O57</f>
        <v>0.15743333333333334</v>
      </c>
      <c r="G57" s="28">
        <v>2</v>
      </c>
      <c r="H57" t="str">
        <f>+$B$56</f>
        <v>2008-2009</v>
      </c>
      <c r="I57" s="29">
        <f>+I9+I10+I11</f>
        <v>0</v>
      </c>
      <c r="J57" s="29">
        <v>0</v>
      </c>
      <c r="K57" s="29">
        <f>+K9+K10+K11</f>
        <v>0</v>
      </c>
      <c r="L57" s="29">
        <f>+L9+L10+L11</f>
        <v>0</v>
      </c>
      <c r="O57" s="31">
        <f>+O9+O10+O11</f>
        <v>3</v>
      </c>
    </row>
    <row r="58" spans="1:15" ht="12.75">
      <c r="A58" s="28">
        <v>3</v>
      </c>
      <c r="B58" t="str">
        <f>+$B$56</f>
        <v>2008-2009</v>
      </c>
      <c r="C58" s="29">
        <f>+C12+C13+C14</f>
        <v>16508581.29</v>
      </c>
      <c r="D58" s="29">
        <f>+D12+D13+D14</f>
        <v>330171.63</v>
      </c>
      <c r="E58" s="29">
        <f>+E12+E13+E14</f>
        <v>16178409.66</v>
      </c>
      <c r="F58" s="30">
        <f>(F8+F9+F10)/O58</f>
        <v>0.11773333333333334</v>
      </c>
      <c r="G58" s="28">
        <v>3</v>
      </c>
      <c r="H58" t="str">
        <f>+$B$56</f>
        <v>2008-2009</v>
      </c>
      <c r="I58" s="29">
        <f>+I12+I13+I14</f>
        <v>0</v>
      </c>
      <c r="J58" s="29">
        <f>+J12+J13+J14</f>
        <v>0</v>
      </c>
      <c r="K58" s="29">
        <f>+K12+K13+K14</f>
        <v>0</v>
      </c>
      <c r="L58" s="29">
        <f>+L12+L13+L14</f>
        <v>0</v>
      </c>
      <c r="O58" s="31">
        <f>+O12+O13+O14</f>
        <v>3</v>
      </c>
    </row>
    <row r="59" spans="1:15" ht="12.75">
      <c r="A59" s="28">
        <v>4</v>
      </c>
      <c r="B59" t="str">
        <f>+$B$56</f>
        <v>2008-2009</v>
      </c>
      <c r="C59" s="29">
        <f>+C15+C16+C17</f>
        <v>11184314.82</v>
      </c>
      <c r="D59" s="29">
        <f>+D15+D16+D17</f>
        <v>223686.3</v>
      </c>
      <c r="E59" s="29">
        <f>+E15+E16+E17</f>
        <v>10960628.52</v>
      </c>
      <c r="F59" s="30">
        <f>(F9+F10+F11)/O59</f>
        <v>0.058966666666666674</v>
      </c>
      <c r="G59" s="28">
        <v>4</v>
      </c>
      <c r="H59" t="str">
        <f>+$B$56</f>
        <v>2008-2009</v>
      </c>
      <c r="I59" s="29">
        <f>+I15+I16+I17</f>
        <v>0</v>
      </c>
      <c r="J59" s="29">
        <v>0</v>
      </c>
      <c r="K59" s="29">
        <f>+K15+K16+K17</f>
        <v>0</v>
      </c>
      <c r="L59" s="29">
        <f>+L15+L16+L17</f>
        <v>0</v>
      </c>
      <c r="O59" s="31">
        <f>+O15+O16+O17</f>
        <v>3</v>
      </c>
    </row>
    <row r="60" spans="1:12" ht="12.75">
      <c r="A60" s="5"/>
      <c r="B60" s="5"/>
      <c r="C60" s="6">
        <f>SUM(C48:C59)</f>
        <v>52700057.52</v>
      </c>
      <c r="D60" s="6">
        <f>SUM(D48:D59)</f>
        <v>1054001.1600000001</v>
      </c>
      <c r="E60" s="6">
        <f>SUM(E48:E59)</f>
        <v>51646056.36</v>
      </c>
      <c r="F60" s="7">
        <f>+F18</f>
        <v>0.23006089528007978</v>
      </c>
      <c r="G60" s="5"/>
      <c r="H60" s="5"/>
      <c r="I60" s="6">
        <f>SUM(I48:I59)</f>
        <v>867327.38</v>
      </c>
      <c r="J60" s="6">
        <f>SUM(J48:J59)</f>
        <v>0</v>
      </c>
      <c r="K60" s="6">
        <f>SUM(K48:K59)</f>
        <v>867327.38</v>
      </c>
      <c r="L60" s="6">
        <f>SUM(L48:L59)</f>
        <v>1734654.76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5"/>
      <c r="B68" s="5"/>
      <c r="C68" s="6"/>
      <c r="D68" s="6"/>
      <c r="E68" s="6"/>
      <c r="F68" s="7"/>
      <c r="G68" s="5"/>
      <c r="H68" s="5"/>
      <c r="I68" s="6"/>
      <c r="J68" s="6"/>
      <c r="K68" s="6"/>
      <c r="L68" s="6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94"/>
  <sheetViews>
    <sheetView zoomScalePageLayoutView="0" workbookViewId="0" topLeftCell="A1">
      <selection activeCell="J27" sqref="J27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0" max="11" width="19.57421875" style="0" customWidth="1"/>
    <col min="12" max="12" width="14.140625" style="0" customWidth="1"/>
    <col min="13" max="13" width="14.28125" style="0" customWidth="1"/>
    <col min="14" max="14" width="17.00390625" style="0" customWidth="1"/>
    <col min="15" max="15" width="13.8515625" style="0" customWidth="1"/>
    <col min="16" max="16" width="13.7109375" style="0" customWidth="1"/>
    <col min="17" max="17" width="11.8515625" style="0" customWidth="1"/>
    <col min="22" max="22" width="11.28125" style="0" customWidth="1"/>
    <col min="23" max="23" width="12.7109375" style="0" bestFit="1" customWidth="1"/>
  </cols>
  <sheetData>
    <row r="1" spans="1:9" ht="12.75">
      <c r="A1" s="12"/>
      <c r="B1" s="12"/>
      <c r="C1" s="12" t="s">
        <v>24</v>
      </c>
      <c r="D1" s="12"/>
      <c r="E1" s="12"/>
      <c r="F1" s="12"/>
      <c r="G1" s="12"/>
      <c r="H1" s="12"/>
      <c r="I1" s="12"/>
    </row>
    <row r="2" spans="1:17" ht="12.75">
      <c r="A2" s="12"/>
      <c r="B2" s="12"/>
      <c r="C2" s="12" t="s">
        <v>25</v>
      </c>
      <c r="D2" s="12"/>
      <c r="E2" s="12"/>
      <c r="F2" s="12"/>
      <c r="G2" s="12"/>
      <c r="H2" s="12"/>
      <c r="I2" s="12"/>
      <c r="O2">
        <f>+D3-1</f>
        <v>2009</v>
      </c>
      <c r="P2" t="s">
        <v>3</v>
      </c>
      <c r="Q2">
        <f>+D3</f>
        <v>2010</v>
      </c>
    </row>
    <row r="3" spans="1:15" ht="12.75">
      <c r="A3" s="12"/>
      <c r="B3" s="12"/>
      <c r="C3" s="12" t="s">
        <v>26</v>
      </c>
      <c r="D3" s="12">
        <f>+B6</f>
        <v>2010</v>
      </c>
      <c r="E3" s="12" t="s">
        <v>3</v>
      </c>
      <c r="F3" s="12">
        <f>+D3+1</f>
        <v>2011</v>
      </c>
      <c r="G3" s="12"/>
      <c r="H3" s="12"/>
      <c r="I3" s="12"/>
      <c r="O3" t="s">
        <v>95</v>
      </c>
    </row>
    <row r="4" spans="1:12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29</v>
      </c>
      <c r="J4" t="s">
        <v>93</v>
      </c>
      <c r="K4" t="s">
        <v>94</v>
      </c>
      <c r="L4" t="s">
        <v>21</v>
      </c>
    </row>
    <row r="5" spans="1:9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</row>
    <row r="6" spans="1:22" ht="12.75">
      <c r="A6" s="45">
        <v>10</v>
      </c>
      <c r="B6" s="45">
        <v>2010</v>
      </c>
      <c r="C6" s="47">
        <v>959257.9</v>
      </c>
      <c r="D6" s="47">
        <v>28777.74</v>
      </c>
      <c r="E6" s="47">
        <v>930480.16</v>
      </c>
      <c r="F6" s="48" t="s">
        <v>72</v>
      </c>
      <c r="G6" s="45">
        <v>11</v>
      </c>
      <c r="H6" s="45">
        <v>2010</v>
      </c>
      <c r="I6" s="47">
        <v>930480.16</v>
      </c>
      <c r="M6" s="11">
        <f>IF(A6&gt;0,1,"")</f>
        <v>1</v>
      </c>
      <c r="N6" s="23">
        <f>DATE(B6,A6,1)</f>
        <v>40452</v>
      </c>
      <c r="O6" s="23">
        <f aca="true" t="shared" si="0" ref="O6:O17">IF(A6&gt;0,N6,"")</f>
        <v>40452</v>
      </c>
      <c r="U6" s="24">
        <f aca="true" t="shared" si="1" ref="U6:U17">IF(M6=1,(F6+1),"")</f>
        <v>1.1803</v>
      </c>
      <c r="V6" s="22">
        <f aca="true" t="shared" si="2" ref="V6:V17">IF(M6=1,C6/U6,"")</f>
        <v>812723.7990341439</v>
      </c>
    </row>
    <row r="7" spans="1:22" ht="12.75">
      <c r="A7" s="45">
        <v>11</v>
      </c>
      <c r="B7" s="45">
        <v>2010</v>
      </c>
      <c r="C7" s="47">
        <v>1103752.21</v>
      </c>
      <c r="D7" s="47">
        <v>33112.57</v>
      </c>
      <c r="E7" s="47">
        <v>1070639.64</v>
      </c>
      <c r="F7" s="48" t="s">
        <v>77</v>
      </c>
      <c r="G7" s="45">
        <v>12</v>
      </c>
      <c r="H7" s="45">
        <v>2010</v>
      </c>
      <c r="I7" s="47">
        <v>1070639.64</v>
      </c>
      <c r="J7" s="46"/>
      <c r="K7" s="46"/>
      <c r="M7" s="11">
        <f>IF(A7&gt;0,1,0)</f>
        <v>1</v>
      </c>
      <c r="N7" s="23">
        <f aca="true" t="shared" si="3" ref="N7:N17">DATE(B7,A7,1)</f>
        <v>40483</v>
      </c>
      <c r="O7" s="23">
        <f t="shared" si="0"/>
        <v>40483</v>
      </c>
      <c r="U7" s="24">
        <f t="shared" si="1"/>
        <v>1.1049</v>
      </c>
      <c r="V7" s="22">
        <f t="shared" si="2"/>
        <v>998961.1820074215</v>
      </c>
    </row>
    <row r="8" spans="1:22" ht="12.75">
      <c r="A8" s="45">
        <v>12</v>
      </c>
      <c r="B8" s="45">
        <v>2010</v>
      </c>
      <c r="C8" s="47">
        <v>1305942.73</v>
      </c>
      <c r="D8" s="47">
        <v>39178.28</v>
      </c>
      <c r="E8" s="47">
        <v>1266764.44</v>
      </c>
      <c r="F8" s="48" t="s">
        <v>81</v>
      </c>
      <c r="G8" s="45">
        <v>1</v>
      </c>
      <c r="H8" s="45">
        <v>2011</v>
      </c>
      <c r="I8" s="47">
        <v>1266764.44</v>
      </c>
      <c r="M8" s="11">
        <f>IF(A8&gt;0,1,0)</f>
        <v>1</v>
      </c>
      <c r="N8" s="23">
        <f t="shared" si="3"/>
        <v>40513</v>
      </c>
      <c r="O8" s="23">
        <f t="shared" si="0"/>
        <v>40513</v>
      </c>
      <c r="U8" s="24">
        <f t="shared" si="1"/>
        <v>1.0405</v>
      </c>
      <c r="V8" s="22">
        <f t="shared" si="2"/>
        <v>1255110.7448342142</v>
      </c>
    </row>
    <row r="9" spans="1:22" ht="12.75">
      <c r="A9" s="45">
        <v>1</v>
      </c>
      <c r="B9" s="45">
        <v>2011</v>
      </c>
      <c r="C9" s="47">
        <v>1727089.75</v>
      </c>
      <c r="D9" s="47">
        <v>51812.69</v>
      </c>
      <c r="E9" s="47">
        <v>1675277.05</v>
      </c>
      <c r="F9" s="48" t="s">
        <v>88</v>
      </c>
      <c r="G9" s="45">
        <v>2</v>
      </c>
      <c r="H9" s="45">
        <v>2011</v>
      </c>
      <c r="I9" s="47">
        <v>1675277.05</v>
      </c>
      <c r="M9" s="11">
        <f>IF(A9&gt;0,1,0)</f>
        <v>1</v>
      </c>
      <c r="N9" s="23">
        <f t="shared" si="3"/>
        <v>40544</v>
      </c>
      <c r="O9" s="23">
        <f t="shared" si="0"/>
        <v>40544</v>
      </c>
      <c r="U9" s="24">
        <f t="shared" si="1"/>
        <v>1.2734</v>
      </c>
      <c r="V9" s="22">
        <f t="shared" si="2"/>
        <v>1356282.1972671587</v>
      </c>
    </row>
    <row r="10" spans="1:24" ht="12.75">
      <c r="A10" s="45">
        <v>2</v>
      </c>
      <c r="B10" s="45">
        <v>2011</v>
      </c>
      <c r="C10" s="47">
        <v>2347287.31</v>
      </c>
      <c r="D10" s="47">
        <v>70418.62</v>
      </c>
      <c r="E10" s="47">
        <v>2276868.69</v>
      </c>
      <c r="F10" s="48" t="s">
        <v>92</v>
      </c>
      <c r="G10" s="45">
        <v>3</v>
      </c>
      <c r="H10" s="45">
        <v>2011</v>
      </c>
      <c r="I10" s="47">
        <v>2276868.69</v>
      </c>
      <c r="J10" s="62">
        <f>1179443.82*(2/3)</f>
        <v>786295.88</v>
      </c>
      <c r="K10" s="62">
        <f>+C10-J10</f>
        <v>1560991.4300000002</v>
      </c>
      <c r="L10" s="63">
        <f>+X10</f>
        <v>-0.07918965318245674</v>
      </c>
      <c r="M10" s="11">
        <f aca="true" t="shared" si="4" ref="M10:M16">IF(A10&gt;0,1,0)</f>
        <v>1</v>
      </c>
      <c r="N10" s="23">
        <f t="shared" si="3"/>
        <v>40575</v>
      </c>
      <c r="O10" s="23">
        <f t="shared" si="0"/>
        <v>40575</v>
      </c>
      <c r="U10" s="24">
        <f t="shared" si="1"/>
        <v>1.3846</v>
      </c>
      <c r="V10" s="22">
        <f t="shared" si="2"/>
        <v>1695281.8936877076</v>
      </c>
      <c r="W10" s="26">
        <f>780495.71*2</f>
        <v>1560991.42</v>
      </c>
      <c r="X10" s="2">
        <f>+(780495.71/847618.31)-1</f>
        <v>-0.07918965318245674</v>
      </c>
    </row>
    <row r="11" spans="1:22" s="46" customFormat="1" ht="14.25" customHeight="1">
      <c r="A11" s="45">
        <v>3</v>
      </c>
      <c r="B11" s="45">
        <v>2011</v>
      </c>
      <c r="C11" s="47">
        <v>2147520.53</v>
      </c>
      <c r="D11" s="47">
        <v>64425.62</v>
      </c>
      <c r="E11" s="47">
        <v>2083094.91</v>
      </c>
      <c r="F11" s="48" t="s">
        <v>105</v>
      </c>
      <c r="G11" s="45">
        <v>4</v>
      </c>
      <c r="H11" s="45">
        <v>2011</v>
      </c>
      <c r="I11" s="47">
        <v>2083094.91</v>
      </c>
      <c r="M11" s="11">
        <f>IF(A11&gt;0,1,0)</f>
        <v>1</v>
      </c>
      <c r="N11" s="23">
        <f>DATE(B11,A11,1)</f>
        <v>40603</v>
      </c>
      <c r="O11" s="23">
        <f>IF(A11&gt;0,N11,"")</f>
        <v>40603</v>
      </c>
      <c r="P11"/>
      <c r="Q11"/>
      <c r="R11"/>
      <c r="S11"/>
      <c r="T11"/>
      <c r="U11" s="24">
        <f>IF(M11=1,(F11+1),"")</f>
        <v>1.0559</v>
      </c>
      <c r="V11" s="22">
        <f>IF(M11=1,C11/U11,"")</f>
        <v>2033829.463017331</v>
      </c>
    </row>
    <row r="12" spans="1:22" ht="12.75">
      <c r="A12" s="45">
        <v>4</v>
      </c>
      <c r="B12" s="45">
        <v>2011</v>
      </c>
      <c r="C12" s="47">
        <v>2219295.66</v>
      </c>
      <c r="D12" s="47">
        <v>66578.87</v>
      </c>
      <c r="E12" s="47">
        <v>2152716.79</v>
      </c>
      <c r="F12" s="48" t="s">
        <v>110</v>
      </c>
      <c r="G12" s="45">
        <v>5</v>
      </c>
      <c r="H12" s="45">
        <v>2011</v>
      </c>
      <c r="I12" s="47">
        <v>2152716.79</v>
      </c>
      <c r="M12" s="11">
        <f t="shared" si="4"/>
        <v>1</v>
      </c>
      <c r="N12" s="23">
        <f t="shared" si="3"/>
        <v>40634</v>
      </c>
      <c r="O12" s="23">
        <f t="shared" si="0"/>
        <v>40634</v>
      </c>
      <c r="U12" s="24">
        <f t="shared" si="1"/>
        <v>1.1397</v>
      </c>
      <c r="V12" s="22">
        <f t="shared" si="2"/>
        <v>1947263.0165833116</v>
      </c>
    </row>
    <row r="13" spans="1:22" ht="12.75">
      <c r="A13" s="45">
        <v>5</v>
      </c>
      <c r="B13" s="45">
        <v>2011</v>
      </c>
      <c r="C13" s="47">
        <v>1732801.81</v>
      </c>
      <c r="D13" s="47">
        <v>51984.05</v>
      </c>
      <c r="E13" s="47">
        <v>1680817.76</v>
      </c>
      <c r="F13" s="48" t="s">
        <v>115</v>
      </c>
      <c r="G13" s="45">
        <v>6</v>
      </c>
      <c r="H13" s="45">
        <v>2011</v>
      </c>
      <c r="I13" s="47">
        <v>1680817.76</v>
      </c>
      <c r="M13" s="11">
        <f t="shared" si="4"/>
        <v>1</v>
      </c>
      <c r="N13" s="23">
        <f t="shared" si="3"/>
        <v>40664</v>
      </c>
      <c r="O13" s="23">
        <f t="shared" si="0"/>
        <v>40664</v>
      </c>
      <c r="U13" s="24">
        <f t="shared" si="1"/>
        <v>1.2501</v>
      </c>
      <c r="V13" s="22">
        <f t="shared" si="2"/>
        <v>1386130.5575553956</v>
      </c>
    </row>
    <row r="14" spans="1:22" ht="12.75">
      <c r="A14" s="45">
        <v>6</v>
      </c>
      <c r="B14" s="45">
        <v>2011</v>
      </c>
      <c r="C14" s="47">
        <v>1400984.21</v>
      </c>
      <c r="D14" s="47">
        <v>42029.53</v>
      </c>
      <c r="E14" s="47">
        <v>1358954.68</v>
      </c>
      <c r="F14" s="48" t="s">
        <v>119</v>
      </c>
      <c r="G14" s="45">
        <v>7</v>
      </c>
      <c r="H14" s="45">
        <v>2011</v>
      </c>
      <c r="I14" s="47">
        <v>1358954.68</v>
      </c>
      <c r="M14" s="11">
        <f t="shared" si="4"/>
        <v>1</v>
      </c>
      <c r="N14" s="23">
        <f t="shared" si="3"/>
        <v>40695</v>
      </c>
      <c r="O14" s="23">
        <f t="shared" si="0"/>
        <v>40695</v>
      </c>
      <c r="U14" s="24">
        <f t="shared" si="1"/>
        <v>1.1052</v>
      </c>
      <c r="V14" s="22">
        <f t="shared" si="2"/>
        <v>1267629.5783568586</v>
      </c>
    </row>
    <row r="15" spans="1:22" ht="12.75">
      <c r="A15" s="45">
        <v>7</v>
      </c>
      <c r="B15" s="45">
        <v>2011</v>
      </c>
      <c r="C15" s="47">
        <v>1170318.58</v>
      </c>
      <c r="D15" s="47">
        <v>35109.56</v>
      </c>
      <c r="E15" s="47">
        <v>1135209.02</v>
      </c>
      <c r="F15" s="48" t="s">
        <v>123</v>
      </c>
      <c r="G15" s="45">
        <v>8</v>
      </c>
      <c r="H15" s="45">
        <v>2011</v>
      </c>
      <c r="I15" s="47">
        <v>1135209.02</v>
      </c>
      <c r="M15" s="11">
        <f t="shared" si="4"/>
        <v>1</v>
      </c>
      <c r="N15" s="23">
        <f t="shared" si="3"/>
        <v>40725</v>
      </c>
      <c r="O15" s="23">
        <f t="shared" si="0"/>
        <v>40725</v>
      </c>
      <c r="U15" s="24">
        <f t="shared" si="1"/>
        <v>1.1175</v>
      </c>
      <c r="V15" s="22">
        <f t="shared" si="2"/>
        <v>1047264.9485458614</v>
      </c>
    </row>
    <row r="16" spans="1:22" ht="12.75">
      <c r="A16" s="45">
        <v>8</v>
      </c>
      <c r="B16" s="45">
        <v>2011</v>
      </c>
      <c r="C16" s="47">
        <v>1266345.93</v>
      </c>
      <c r="D16" s="47">
        <v>37990.38</v>
      </c>
      <c r="E16" s="47">
        <v>1228355.55</v>
      </c>
      <c r="F16" s="48" t="s">
        <v>127</v>
      </c>
      <c r="G16" s="45">
        <v>9</v>
      </c>
      <c r="H16" s="45">
        <v>2011</v>
      </c>
      <c r="I16" s="47">
        <v>1228355.55</v>
      </c>
      <c r="J16" s="46"/>
      <c r="K16" s="46"/>
      <c r="M16" s="11">
        <f t="shared" si="4"/>
        <v>1</v>
      </c>
      <c r="N16" s="23">
        <f t="shared" si="3"/>
        <v>40756</v>
      </c>
      <c r="O16" s="23">
        <f t="shared" si="0"/>
        <v>40756</v>
      </c>
      <c r="U16" s="24">
        <f t="shared" si="1"/>
        <v>1.1724999999999999</v>
      </c>
      <c r="V16" s="22">
        <f t="shared" si="2"/>
        <v>1080039.1727078892</v>
      </c>
    </row>
    <row r="17" spans="1:22" ht="12.75">
      <c r="A17" s="45">
        <v>9</v>
      </c>
      <c r="B17" s="45">
        <v>2011</v>
      </c>
      <c r="C17" s="47">
        <v>1194172.39</v>
      </c>
      <c r="D17" s="47">
        <v>35825.17</v>
      </c>
      <c r="E17" s="47">
        <v>1158347.22</v>
      </c>
      <c r="F17" s="48" t="s">
        <v>132</v>
      </c>
      <c r="G17" s="45">
        <v>10</v>
      </c>
      <c r="H17" s="45">
        <v>2011</v>
      </c>
      <c r="I17" s="47">
        <v>1158347.22</v>
      </c>
      <c r="M17" s="11">
        <v>1</v>
      </c>
      <c r="N17" s="23">
        <f t="shared" si="3"/>
        <v>40787</v>
      </c>
      <c r="O17" s="23">
        <f t="shared" si="0"/>
        <v>40787</v>
      </c>
      <c r="U17" s="24">
        <f t="shared" si="1"/>
        <v>1.2285</v>
      </c>
      <c r="V17" s="22">
        <f t="shared" si="2"/>
        <v>972057.2975172974</v>
      </c>
    </row>
    <row r="18" spans="1:22" ht="12.75">
      <c r="A18" s="8"/>
      <c r="B18" s="8"/>
      <c r="C18" s="9">
        <f>SUM(C6:C17)</f>
        <v>18574769.01</v>
      </c>
      <c r="D18" s="9">
        <f>SUM(D6:D17)</f>
        <v>557243.08</v>
      </c>
      <c r="E18" s="9">
        <f>SUM(E6:E17)</f>
        <v>18017525.909999996</v>
      </c>
      <c r="F18" s="10">
        <f>(C18/V18)-1</f>
        <v>0.17171944344507883</v>
      </c>
      <c r="G18" s="8"/>
      <c r="H18" s="8"/>
      <c r="I18" s="9">
        <f>SUM(I6:I17)</f>
        <v>18017525.909999996</v>
      </c>
      <c r="M18" s="11">
        <f>SUM(M6:M17)</f>
        <v>12</v>
      </c>
      <c r="R18" s="2">
        <f>(F6+F7+F8+F9+F10+F11+F12+F13+F14+F15+F16+F17)/M18</f>
        <v>0.17109166666666664</v>
      </c>
      <c r="V18" s="22">
        <f>SUM(V6:V17)</f>
        <v>15852573.851114593</v>
      </c>
    </row>
    <row r="19" spans="5:6" ht="12.75">
      <c r="E19" s="64" t="s">
        <v>106</v>
      </c>
      <c r="F19" s="63">
        <f>+((C18-J10)/V18)-1</f>
        <v>0.12211892510750211</v>
      </c>
    </row>
    <row r="22" spans="1:11" ht="12.75">
      <c r="A22" s="13"/>
      <c r="B22" s="13"/>
      <c r="C22" s="13" t="s">
        <v>30</v>
      </c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13"/>
      <c r="B23" s="13"/>
      <c r="C23" s="13" t="s">
        <v>31</v>
      </c>
      <c r="D23" s="13"/>
      <c r="E23" s="13"/>
      <c r="F23" s="13"/>
      <c r="G23" s="13"/>
      <c r="H23" s="13"/>
      <c r="I23" s="13"/>
      <c r="J23" s="13"/>
      <c r="K23" s="13"/>
    </row>
    <row r="24" spans="1:14" ht="12.75">
      <c r="A24" s="13"/>
      <c r="B24" s="13"/>
      <c r="C24" s="13" t="s">
        <v>32</v>
      </c>
      <c r="D24" s="13">
        <f>+B27</f>
        <v>2010</v>
      </c>
      <c r="E24" s="13" t="s">
        <v>3</v>
      </c>
      <c r="F24" s="13">
        <f>+B27+1</f>
        <v>2011</v>
      </c>
      <c r="G24" s="13"/>
      <c r="H24" s="13"/>
      <c r="I24" s="13"/>
      <c r="J24" s="13"/>
      <c r="K24" s="13"/>
      <c r="N24">
        <f>70833.33*12</f>
        <v>849999.96</v>
      </c>
    </row>
    <row r="25" spans="1:11" ht="12.75">
      <c r="A25" s="13"/>
      <c r="B25" s="13" t="s">
        <v>33</v>
      </c>
      <c r="C25" s="13" t="s">
        <v>34</v>
      </c>
      <c r="D25" s="13" t="s">
        <v>35</v>
      </c>
      <c r="E25" s="13" t="s">
        <v>73</v>
      </c>
      <c r="F25" s="13" t="s">
        <v>36</v>
      </c>
      <c r="G25" s="13" t="s">
        <v>67</v>
      </c>
      <c r="H25" s="13" t="s">
        <v>68</v>
      </c>
      <c r="I25" s="13" t="s">
        <v>39</v>
      </c>
      <c r="J25" s="13"/>
      <c r="K25" s="13"/>
    </row>
    <row r="26" spans="1:6" ht="12.75">
      <c r="A26" t="s">
        <v>14</v>
      </c>
      <c r="B26" t="s">
        <v>15</v>
      </c>
      <c r="F26" s="56"/>
    </row>
    <row r="27" spans="1:11" ht="12.75">
      <c r="A27" s="45">
        <v>11</v>
      </c>
      <c r="B27" s="45">
        <v>2010</v>
      </c>
      <c r="C27" s="47">
        <v>37963.59</v>
      </c>
      <c r="D27" s="47">
        <v>892516.57</v>
      </c>
      <c r="E27" s="47">
        <v>81250</v>
      </c>
      <c r="F27" s="47">
        <v>454259.94</v>
      </c>
      <c r="G27" s="47">
        <v>178503.31</v>
      </c>
      <c r="H27" s="47">
        <v>178503.31</v>
      </c>
      <c r="I27" s="47">
        <v>930480.16</v>
      </c>
      <c r="J27" s="67"/>
      <c r="K27" s="47"/>
    </row>
    <row r="28" spans="1:11" ht="12.75">
      <c r="A28" s="45">
        <v>12</v>
      </c>
      <c r="B28" s="45">
        <v>2010</v>
      </c>
      <c r="C28" s="47">
        <v>43682.1</v>
      </c>
      <c r="D28" s="47">
        <v>1026957.54</v>
      </c>
      <c r="E28" s="47">
        <v>81250</v>
      </c>
      <c r="F28" s="47">
        <v>534924.53</v>
      </c>
      <c r="G28" s="47">
        <v>205391.51</v>
      </c>
      <c r="H28" s="47">
        <v>205391.51</v>
      </c>
      <c r="I28" s="47">
        <v>1070639.64</v>
      </c>
      <c r="J28" s="47"/>
      <c r="K28" s="47"/>
    </row>
    <row r="29" spans="1:11" ht="12.75">
      <c r="A29" s="45">
        <v>1</v>
      </c>
      <c r="B29" s="45">
        <v>2011</v>
      </c>
      <c r="C29" s="47">
        <v>51683.99</v>
      </c>
      <c r="D29" s="47">
        <v>1215080.46</v>
      </c>
      <c r="E29" s="47">
        <v>81250</v>
      </c>
      <c r="F29" s="47">
        <v>647798.27</v>
      </c>
      <c r="G29" s="47">
        <v>243016.09</v>
      </c>
      <c r="H29" s="47">
        <v>243016.09</v>
      </c>
      <c r="I29" s="47">
        <v>1266764.44</v>
      </c>
      <c r="J29" s="47"/>
      <c r="K29" s="47"/>
    </row>
    <row r="30" spans="1:11" ht="12.75">
      <c r="A30" s="45">
        <v>2</v>
      </c>
      <c r="B30" s="45">
        <v>2011</v>
      </c>
      <c r="C30" s="47">
        <v>68351.3</v>
      </c>
      <c r="D30" s="47">
        <v>1606925.75</v>
      </c>
      <c r="E30" s="47">
        <v>81250</v>
      </c>
      <c r="F30" s="47">
        <v>882905.45</v>
      </c>
      <c r="G30" s="47">
        <v>321385.15</v>
      </c>
      <c r="H30" s="47">
        <v>321385.15</v>
      </c>
      <c r="I30" s="47">
        <v>1675277.05</v>
      </c>
      <c r="J30" s="47"/>
      <c r="K30" s="47"/>
    </row>
    <row r="31" spans="1:11" ht="12.75">
      <c r="A31" s="45">
        <v>3</v>
      </c>
      <c r="B31" s="45">
        <v>2011</v>
      </c>
      <c r="C31" s="47">
        <v>92896.24</v>
      </c>
      <c r="D31" s="47">
        <v>2183972.45</v>
      </c>
      <c r="E31" s="47">
        <v>81250</v>
      </c>
      <c r="F31" s="47">
        <v>1229133.47</v>
      </c>
      <c r="G31" s="47">
        <v>436794.49</v>
      </c>
      <c r="H31" s="47">
        <v>436794.49</v>
      </c>
      <c r="I31" s="47">
        <v>2276868.69</v>
      </c>
      <c r="J31" s="47"/>
      <c r="K31" s="47"/>
    </row>
    <row r="32" spans="1:11" ht="12.75">
      <c r="A32" s="45">
        <v>4</v>
      </c>
      <c r="B32" s="45">
        <v>2011</v>
      </c>
      <c r="C32" s="47">
        <v>84990.27</v>
      </c>
      <c r="D32" s="47">
        <v>1998104.64</v>
      </c>
      <c r="E32" s="47">
        <v>81250</v>
      </c>
      <c r="F32" s="47">
        <v>1117612.78</v>
      </c>
      <c r="G32" s="47">
        <v>399620.93</v>
      </c>
      <c r="H32" s="47">
        <v>399620.93</v>
      </c>
      <c r="I32" s="47">
        <v>2083094.91</v>
      </c>
      <c r="J32" s="47"/>
      <c r="K32" s="47"/>
    </row>
    <row r="33" spans="1:11" ht="12.75">
      <c r="A33" s="45">
        <v>5</v>
      </c>
      <c r="B33" s="45">
        <v>2011</v>
      </c>
      <c r="C33" s="47">
        <v>87830.85</v>
      </c>
      <c r="D33" s="47">
        <v>2064885.95</v>
      </c>
      <c r="E33" s="47">
        <v>81250</v>
      </c>
      <c r="F33" s="47">
        <v>1157681.57</v>
      </c>
      <c r="G33" s="47">
        <v>412977.19</v>
      </c>
      <c r="H33" s="47">
        <v>412977.19</v>
      </c>
      <c r="I33" s="47">
        <v>2152716.79</v>
      </c>
      <c r="J33" s="47"/>
      <c r="K33" s="47"/>
    </row>
    <row r="34" spans="1:11" ht="12.75">
      <c r="A34" s="45">
        <v>6</v>
      </c>
      <c r="B34" s="45">
        <v>2011</v>
      </c>
      <c r="C34" s="47">
        <v>68577.36</v>
      </c>
      <c r="D34" s="47">
        <v>1612240.39</v>
      </c>
      <c r="E34" s="47">
        <v>81250</v>
      </c>
      <c r="F34" s="47">
        <v>886094.24</v>
      </c>
      <c r="G34" s="47">
        <v>322448.08</v>
      </c>
      <c r="H34" s="47">
        <v>322448.08</v>
      </c>
      <c r="I34" s="47">
        <v>1680817.76</v>
      </c>
      <c r="J34" s="47"/>
      <c r="K34" s="47"/>
    </row>
    <row r="35" spans="1:11" ht="12.75">
      <c r="A35" s="45">
        <v>7</v>
      </c>
      <c r="B35" s="45">
        <v>2011</v>
      </c>
      <c r="C35" s="47">
        <v>55445.35</v>
      </c>
      <c r="D35" s="47">
        <v>1303509.33</v>
      </c>
      <c r="E35" s="47">
        <v>81250</v>
      </c>
      <c r="F35" s="47">
        <v>700855.6</v>
      </c>
      <c r="G35" s="47">
        <v>260701.87</v>
      </c>
      <c r="H35" s="47">
        <v>260701.87</v>
      </c>
      <c r="I35" s="47">
        <v>1358954.68</v>
      </c>
      <c r="J35" s="47"/>
      <c r="K35" s="47"/>
    </row>
    <row r="36" spans="1:11" ht="12.75">
      <c r="A36" s="45">
        <v>8</v>
      </c>
      <c r="B36" s="45">
        <v>2011</v>
      </c>
      <c r="C36" s="47">
        <v>46316.53</v>
      </c>
      <c r="D36" s="47">
        <v>1088892.49</v>
      </c>
      <c r="E36" s="47">
        <v>81250</v>
      </c>
      <c r="F36" s="47">
        <v>572085.5</v>
      </c>
      <c r="G36" s="47">
        <v>217778.5</v>
      </c>
      <c r="H36" s="47">
        <v>217778.5</v>
      </c>
      <c r="I36" s="47">
        <v>1135209.02</v>
      </c>
      <c r="J36" s="47"/>
      <c r="K36" s="47"/>
    </row>
    <row r="37" spans="1:13" ht="12.75">
      <c r="A37" s="45">
        <v>9</v>
      </c>
      <c r="B37" s="45">
        <v>2011</v>
      </c>
      <c r="C37" s="47">
        <v>50116.91</v>
      </c>
      <c r="D37" s="47">
        <v>1178238.64</v>
      </c>
      <c r="E37" s="47">
        <v>81250</v>
      </c>
      <c r="F37" s="47">
        <v>625693.19</v>
      </c>
      <c r="G37" s="47">
        <v>235647.73</v>
      </c>
      <c r="H37" s="47">
        <v>235647.73</v>
      </c>
      <c r="I37" s="47">
        <v>1228355.55</v>
      </c>
      <c r="J37" s="29"/>
      <c r="K37" s="29"/>
      <c r="L37" s="56"/>
      <c r="M37" s="26"/>
    </row>
    <row r="38" spans="1:14" ht="12.75">
      <c r="A38" s="66">
        <v>10</v>
      </c>
      <c r="B38" s="66">
        <v>2011</v>
      </c>
      <c r="C38" s="29">
        <f>+I17*0.0408</f>
        <v>47260.566576000005</v>
      </c>
      <c r="D38" s="29">
        <f>+I17-C38</f>
        <v>1111086.653424</v>
      </c>
      <c r="E38" s="29">
        <v>81250</v>
      </c>
      <c r="F38" s="29">
        <v>585401.9927391999</v>
      </c>
      <c r="G38" s="29">
        <f>+D38*0.2</f>
        <v>222217.3306848</v>
      </c>
      <c r="H38" s="29">
        <v>222217.33</v>
      </c>
      <c r="I38" s="29">
        <v>1158347.22</v>
      </c>
      <c r="J38" s="47"/>
      <c r="K38" s="47"/>
      <c r="M38" s="44"/>
      <c r="N38" s="56"/>
    </row>
    <row r="39" spans="1:12" ht="12.75">
      <c r="A39" s="14"/>
      <c r="B39" s="14"/>
      <c r="C39" s="15">
        <f aca="true" t="shared" si="5" ref="C39:I39">SUM(C27:C38)</f>
        <v>735115.056576</v>
      </c>
      <c r="D39" s="15">
        <f t="shared" si="5"/>
        <v>17282410.863424</v>
      </c>
      <c r="E39" s="15">
        <f t="shared" si="5"/>
        <v>975000</v>
      </c>
      <c r="F39" s="15">
        <f t="shared" si="5"/>
        <v>9394446.532739202</v>
      </c>
      <c r="G39" s="15">
        <f t="shared" si="5"/>
        <v>3456482.1806848003</v>
      </c>
      <c r="H39" s="15">
        <f t="shared" si="5"/>
        <v>3456482.18</v>
      </c>
      <c r="I39" s="15">
        <f t="shared" si="5"/>
        <v>18017525.909999996</v>
      </c>
      <c r="J39" s="15"/>
      <c r="K39" s="15"/>
      <c r="L39" s="1"/>
    </row>
    <row r="43" spans="10:16" ht="12.75">
      <c r="J43" s="56"/>
      <c r="K43" s="56"/>
      <c r="L43" s="56"/>
      <c r="M43" s="56"/>
      <c r="N43" s="56"/>
      <c r="O43" s="56"/>
      <c r="P43" s="56"/>
    </row>
    <row r="44" spans="10:16" ht="12.75">
      <c r="J44" s="56"/>
      <c r="K44" s="56"/>
      <c r="L44" s="56"/>
      <c r="M44" s="56"/>
      <c r="N44" s="56"/>
      <c r="O44" s="56"/>
      <c r="P44" s="56"/>
    </row>
    <row r="46" spans="13:16" ht="12.75">
      <c r="M46" s="56"/>
      <c r="N46" s="56"/>
      <c r="P46" s="56"/>
    </row>
    <row r="47" ht="12.75">
      <c r="M47" s="56"/>
    </row>
    <row r="71" spans="1:9" ht="12.75">
      <c r="A71" s="12"/>
      <c r="B71" s="12"/>
      <c r="C71" s="12" t="s">
        <v>24</v>
      </c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 t="s">
        <v>25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2010</v>
      </c>
      <c r="E73" s="12" t="s">
        <v>3</v>
      </c>
      <c r="F73" s="12">
        <f>+D73+1</f>
        <v>2011</v>
      </c>
      <c r="G73" s="12"/>
      <c r="H73" s="12"/>
      <c r="I73" s="12"/>
    </row>
    <row r="74" spans="1:9" ht="12.75">
      <c r="A74" s="12"/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29</v>
      </c>
    </row>
    <row r="75" spans="1:9" ht="12.75">
      <c r="A75" s="12" t="s">
        <v>56</v>
      </c>
      <c r="B75" s="12" t="s">
        <v>15</v>
      </c>
      <c r="C75" s="12"/>
      <c r="D75" s="12"/>
      <c r="E75" s="12"/>
      <c r="F75" s="12"/>
      <c r="G75" s="12" t="s">
        <v>61</v>
      </c>
      <c r="H75" s="12"/>
      <c r="I75" s="12"/>
    </row>
    <row r="76" spans="1:16" ht="12.75">
      <c r="A76">
        <v>1</v>
      </c>
      <c r="B76" t="s">
        <v>70</v>
      </c>
      <c r="C76" s="1">
        <f>+C6+C7+C8</f>
        <v>3368952.84</v>
      </c>
      <c r="D76" s="1">
        <f>+D6+D7+D8</f>
        <v>101068.59</v>
      </c>
      <c r="E76" s="1">
        <f>+E6+E7+E8</f>
        <v>3267884.2399999998</v>
      </c>
      <c r="F76" s="34">
        <f>+F6+F7+F8/P76</f>
        <v>0.2987</v>
      </c>
      <c r="G76" s="11">
        <f aca="true" t="shared" si="6" ref="G76:H79">+A76</f>
        <v>1</v>
      </c>
      <c r="H76" s="1" t="str">
        <f t="shared" si="6"/>
        <v> 2008-2009</v>
      </c>
      <c r="I76" s="1">
        <f>+I6+I7+I8</f>
        <v>3267884.2399999998</v>
      </c>
      <c r="M76" s="11"/>
      <c r="P76" s="11">
        <f>+M6+M7+M8</f>
        <v>3</v>
      </c>
    </row>
    <row r="77" spans="1:16" ht="12.75">
      <c r="A77">
        <v>2</v>
      </c>
      <c r="B77" t="str">
        <f>+B76</f>
        <v> 2008-2009</v>
      </c>
      <c r="C77" s="1">
        <f aca="true" t="shared" si="7" ref="C77:E78">+C9+C10+C11</f>
        <v>6221897.59</v>
      </c>
      <c r="D77" s="1">
        <f t="shared" si="7"/>
        <v>186656.93</v>
      </c>
      <c r="E77" s="1">
        <f t="shared" si="7"/>
        <v>6035240.65</v>
      </c>
      <c r="F77" s="34">
        <f>+F7+F8+F9/P77</f>
        <v>0.23653333333333332</v>
      </c>
      <c r="G77" s="11">
        <f t="shared" si="6"/>
        <v>2</v>
      </c>
      <c r="H77" s="1" t="str">
        <f t="shared" si="6"/>
        <v> 2008-2009</v>
      </c>
      <c r="I77" s="1">
        <f>+I9+I10+I11</f>
        <v>6035240.65</v>
      </c>
      <c r="M77" s="11"/>
      <c r="P77" s="11">
        <f>+M9+M10+M11</f>
        <v>3</v>
      </c>
    </row>
    <row r="78" spans="1:16" ht="12.75">
      <c r="A78">
        <v>3</v>
      </c>
      <c r="B78" t="str">
        <f>+B76</f>
        <v> 2008-2009</v>
      </c>
      <c r="C78" s="1">
        <f t="shared" si="7"/>
        <v>6714103.5</v>
      </c>
      <c r="D78" s="1">
        <f t="shared" si="7"/>
        <v>201423.11</v>
      </c>
      <c r="E78" s="1">
        <f t="shared" si="7"/>
        <v>6512680.39</v>
      </c>
      <c r="F78" s="34">
        <f>+F8+F9+F10/P78</f>
        <v>0.44209999999999994</v>
      </c>
      <c r="G78" s="11">
        <f t="shared" si="6"/>
        <v>3</v>
      </c>
      <c r="H78" s="1" t="str">
        <f t="shared" si="6"/>
        <v> 2008-2009</v>
      </c>
      <c r="I78" s="1">
        <f>+I10+I11+I12</f>
        <v>6512680.39</v>
      </c>
      <c r="P78" s="11">
        <f>+M12+M13+M14</f>
        <v>3</v>
      </c>
    </row>
    <row r="79" spans="1:16" ht="12.75">
      <c r="A79">
        <v>4</v>
      </c>
      <c r="B79" t="str">
        <f>+B76</f>
        <v> 2008-2009</v>
      </c>
      <c r="C79" s="1">
        <f>+C13+C14+C15</f>
        <v>4304104.6</v>
      </c>
      <c r="D79" s="1">
        <f>+D13+D14+D15</f>
        <v>129123.14</v>
      </c>
      <c r="E79" s="1">
        <f>+E13+E14+E15</f>
        <v>4174981.46</v>
      </c>
      <c r="F79" s="1">
        <f>+F13+F14+F15</f>
        <v>0.4728</v>
      </c>
      <c r="G79" s="11">
        <f t="shared" si="6"/>
        <v>4</v>
      </c>
      <c r="H79" s="1" t="str">
        <f t="shared" si="6"/>
        <v> 2008-2009</v>
      </c>
      <c r="I79" s="1">
        <f>+I13+I14+I15</f>
        <v>4174981.46</v>
      </c>
      <c r="P79" s="11">
        <f>+M15+M16+M17</f>
        <v>3</v>
      </c>
    </row>
    <row r="80" spans="1:9" ht="12.75">
      <c r="A80" s="4" t="s">
        <v>62</v>
      </c>
      <c r="B80" s="4"/>
      <c r="C80" s="35">
        <f>SUM(C76:C79)</f>
        <v>20609058.53</v>
      </c>
      <c r="D80" s="35">
        <f>SUM(D76:D79)</f>
        <v>618271.77</v>
      </c>
      <c r="E80" s="35">
        <f>SUM(E76:E79)</f>
        <v>19990786.740000002</v>
      </c>
      <c r="F80" s="36">
        <f>+F18</f>
        <v>0.17171944344507883</v>
      </c>
      <c r="G80" s="37"/>
      <c r="H80" s="4"/>
      <c r="I80" s="35">
        <f>SUM(I76:I79)</f>
        <v>19990786.740000002</v>
      </c>
    </row>
    <row r="86" spans="1:9" ht="12.75">
      <c r="A86" s="13"/>
      <c r="B86" s="13"/>
      <c r="C86" s="13" t="s">
        <v>30</v>
      </c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 t="s">
        <v>31</v>
      </c>
      <c r="D87" s="13"/>
      <c r="E87" s="13"/>
      <c r="F87" s="13"/>
      <c r="G87" s="13"/>
      <c r="H87" s="13"/>
      <c r="I87" s="13"/>
    </row>
    <row r="88" spans="1:9" ht="12.75">
      <c r="A88" s="13"/>
      <c r="B88" s="12" t="s">
        <v>4</v>
      </c>
      <c r="C88" s="13" t="s">
        <v>32</v>
      </c>
      <c r="D88" s="13">
        <f>+B6</f>
        <v>2010</v>
      </c>
      <c r="E88" s="13" t="s">
        <v>3</v>
      </c>
      <c r="F88" s="13">
        <f>+D88+1</f>
        <v>2011</v>
      </c>
      <c r="G88" s="13"/>
      <c r="H88" s="13"/>
      <c r="I88" s="13"/>
    </row>
    <row r="89" spans="1:9" ht="12.75">
      <c r="A89" s="13" t="s">
        <v>56</v>
      </c>
      <c r="B89" s="12" t="s">
        <v>15</v>
      </c>
      <c r="C89" s="13" t="s">
        <v>34</v>
      </c>
      <c r="D89" s="13" t="s">
        <v>35</v>
      </c>
      <c r="E89" s="13" t="s">
        <v>55</v>
      </c>
      <c r="F89" s="13" t="s">
        <v>36</v>
      </c>
      <c r="G89" s="13" t="s">
        <v>37</v>
      </c>
      <c r="H89" s="13" t="s">
        <v>38</v>
      </c>
      <c r="I89" s="13" t="s">
        <v>39</v>
      </c>
    </row>
    <row r="90" spans="1:9" ht="12.75">
      <c r="A90">
        <f>+A76</f>
        <v>1</v>
      </c>
      <c r="B90" t="str">
        <f>+B76</f>
        <v> 2008-2009</v>
      </c>
      <c r="C90" s="1">
        <f aca="true" t="shared" si="8" ref="C90:H90">+C27+C28+C29</f>
        <v>133329.68</v>
      </c>
      <c r="D90" s="1">
        <f t="shared" si="8"/>
        <v>3134554.57</v>
      </c>
      <c r="E90" s="1">
        <f t="shared" si="8"/>
        <v>243750</v>
      </c>
      <c r="F90" s="1">
        <f t="shared" si="8"/>
        <v>1636982.74</v>
      </c>
      <c r="G90" s="1">
        <f t="shared" si="8"/>
        <v>626910.91</v>
      </c>
      <c r="H90" s="1">
        <f t="shared" si="8"/>
        <v>626910.91</v>
      </c>
      <c r="I90" s="1">
        <f>+J27+J28+J29</f>
        <v>0</v>
      </c>
    </row>
    <row r="91" spans="1:9" ht="12.75">
      <c r="A91">
        <f>+A77</f>
        <v>2</v>
      </c>
      <c r="B91" t="str">
        <f>+B90</f>
        <v> 2008-2009</v>
      </c>
      <c r="C91" s="1">
        <f aca="true" t="shared" si="9" ref="C91:H91">+C30+C31+C32</f>
        <v>246237.81</v>
      </c>
      <c r="D91" s="1">
        <f t="shared" si="9"/>
        <v>5789002.84</v>
      </c>
      <c r="E91" s="1">
        <f t="shared" si="9"/>
        <v>243750</v>
      </c>
      <c r="F91" s="1">
        <f t="shared" si="9"/>
        <v>3229651.7</v>
      </c>
      <c r="G91" s="1">
        <f t="shared" si="9"/>
        <v>1157800.57</v>
      </c>
      <c r="H91" s="1">
        <f t="shared" si="9"/>
        <v>1157800.57</v>
      </c>
      <c r="I91" s="1">
        <f>+J30+J31+J32</f>
        <v>0</v>
      </c>
    </row>
    <row r="92" spans="1:9" ht="12.75">
      <c r="A92">
        <f>+A78</f>
        <v>3</v>
      </c>
      <c r="B92" t="str">
        <f>+B90</f>
        <v> 2008-2009</v>
      </c>
      <c r="C92" s="1">
        <f>+C33+C34+C35</f>
        <v>211853.56000000003</v>
      </c>
      <c r="D92" s="1">
        <f>+D33+D34+D35</f>
        <v>4980635.67</v>
      </c>
      <c r="E92" s="1">
        <f>+E33+E34+E35</f>
        <v>243750</v>
      </c>
      <c r="F92" s="1">
        <f>+F33+F34+F35</f>
        <v>2744631.41</v>
      </c>
      <c r="G92" s="1">
        <f>+G33+G34+G35</f>
        <v>996127.14</v>
      </c>
      <c r="H92" s="1">
        <f>+H33+H34+I35</f>
        <v>2094379.95</v>
      </c>
      <c r="I92" s="1">
        <f>+J33+J34+J35</f>
        <v>0</v>
      </c>
    </row>
    <row r="93" spans="1:9" ht="12.75">
      <c r="A93">
        <f>+A79</f>
        <v>4</v>
      </c>
      <c r="B93" t="str">
        <f>+B90</f>
        <v> 2008-2009</v>
      </c>
      <c r="C93" s="1">
        <f>+C36+C37+C38</f>
        <v>143694.006576</v>
      </c>
      <c r="D93" s="1">
        <f>+D36+D37+D38</f>
        <v>3378217.783424</v>
      </c>
      <c r="E93" s="1">
        <f>+E36+E37+E38</f>
        <v>243750</v>
      </c>
      <c r="F93" s="1">
        <f>+F36+F37+F38</f>
        <v>1783180.6827391998</v>
      </c>
      <c r="G93" s="1">
        <f>+G36+G37+G38</f>
        <v>675643.5606847999</v>
      </c>
      <c r="H93" s="1">
        <f>+I36+I37+I38</f>
        <v>3521911.79</v>
      </c>
      <c r="I93" s="1">
        <f>+J36+J37+J38</f>
        <v>0</v>
      </c>
    </row>
    <row r="94" spans="1:9" ht="12.75">
      <c r="A94" s="4" t="s">
        <v>62</v>
      </c>
      <c r="B94" s="4"/>
      <c r="C94" s="35">
        <f aca="true" t="shared" si="10" ref="C94:I94">SUM(C90:C93)</f>
        <v>735115.0565760001</v>
      </c>
      <c r="D94" s="35">
        <f t="shared" si="10"/>
        <v>17282410.863424</v>
      </c>
      <c r="E94" s="35">
        <f t="shared" si="10"/>
        <v>975000</v>
      </c>
      <c r="F94" s="35">
        <f t="shared" si="10"/>
        <v>9394446.5327392</v>
      </c>
      <c r="G94" s="35">
        <f t="shared" si="10"/>
        <v>3456482.1806848003</v>
      </c>
      <c r="H94" s="35">
        <f t="shared" si="10"/>
        <v>7401003.22</v>
      </c>
      <c r="I94" s="35">
        <f t="shared" si="10"/>
        <v>0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60"/>
  <sheetViews>
    <sheetView zoomScalePageLayoutView="0" workbookViewId="0" topLeftCell="D1">
      <selection activeCell="F47" sqref="F47"/>
    </sheetView>
  </sheetViews>
  <sheetFormatPr defaultColWidth="9.140625" defaultRowHeight="12.75"/>
  <cols>
    <col min="2" max="2" width="12.421875" style="0" customWidth="1"/>
    <col min="3" max="3" width="17.8515625" style="0" customWidth="1"/>
    <col min="4" max="4" width="15.28125" style="0" customWidth="1"/>
    <col min="5" max="5" width="14.140625" style="0" customWidth="1"/>
    <col min="8" max="8" width="10.421875" style="0" customWidth="1"/>
    <col min="9" max="9" width="17.00390625" style="0" customWidth="1"/>
    <col min="10" max="10" width="19.140625" style="0" customWidth="1"/>
    <col min="11" max="13" width="17.57421875" style="0" customWidth="1"/>
    <col min="14" max="14" width="12.00390625" style="0" bestFit="1" customWidth="1"/>
    <col min="15" max="15" width="9.421875" style="0" bestFit="1" customWidth="1"/>
    <col min="19" max="19" width="9.57421875" style="0" bestFit="1" customWidth="1"/>
    <col min="20" max="20" width="10.140625" style="0" bestFit="1" customWidth="1"/>
    <col min="23" max="23" width="11.57421875" style="0" customWidth="1"/>
  </cols>
  <sheetData>
    <row r="1" spans="1:9" ht="12.75">
      <c r="A1" s="4"/>
      <c r="B1" s="4" t="s">
        <v>0</v>
      </c>
      <c r="C1" s="4"/>
      <c r="D1" s="4"/>
      <c r="E1" s="4"/>
      <c r="F1" s="4"/>
      <c r="G1" s="4"/>
      <c r="H1" s="4"/>
      <c r="I1" s="4"/>
    </row>
    <row r="2" spans="1:9" ht="12.75">
      <c r="A2" s="4"/>
      <c r="B2" s="4" t="s">
        <v>16</v>
      </c>
      <c r="C2" s="4"/>
      <c r="D2" s="4"/>
      <c r="E2" s="4"/>
      <c r="F2" s="4"/>
      <c r="G2" s="4"/>
      <c r="H2" s="4"/>
      <c r="I2" s="4"/>
    </row>
    <row r="3" spans="1:16" ht="12.75">
      <c r="A3" s="4"/>
      <c r="B3" s="4" t="s">
        <v>17</v>
      </c>
      <c r="C3" s="4">
        <f>+B6</f>
        <v>2010</v>
      </c>
      <c r="D3" s="4" t="s">
        <v>3</v>
      </c>
      <c r="E3" s="4">
        <f>+B6+1</f>
        <v>2011</v>
      </c>
      <c r="F3" s="4"/>
      <c r="G3" s="4"/>
      <c r="H3" s="4"/>
      <c r="I3" s="4"/>
      <c r="N3">
        <f>+B6-1</f>
        <v>2009</v>
      </c>
      <c r="O3" t="s">
        <v>3</v>
      </c>
      <c r="P3">
        <f>+B6</f>
        <v>2010</v>
      </c>
    </row>
    <row r="4" spans="1:14" ht="12.75">
      <c r="A4" s="54" t="s">
        <v>18</v>
      </c>
      <c r="B4" s="54"/>
      <c r="C4" s="54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  <c r="J4" t="s">
        <v>93</v>
      </c>
      <c r="K4" t="s">
        <v>94</v>
      </c>
      <c r="L4" t="s">
        <v>21</v>
      </c>
      <c r="N4" t="s">
        <v>95</v>
      </c>
    </row>
    <row r="5" spans="1:3" ht="12.75">
      <c r="A5" s="54" t="s">
        <v>14</v>
      </c>
      <c r="B5" s="55" t="s">
        <v>15</v>
      </c>
      <c r="C5" s="54"/>
    </row>
    <row r="6" spans="1:20" s="46" customFormat="1" ht="15.75" customHeight="1">
      <c r="A6" s="45">
        <v>10</v>
      </c>
      <c r="B6" s="45">
        <v>2010</v>
      </c>
      <c r="C6" s="47">
        <v>479628.95</v>
      </c>
      <c r="D6" s="47">
        <v>14388.87</v>
      </c>
      <c r="E6" s="47">
        <v>465240.08</v>
      </c>
      <c r="F6" s="48" t="s">
        <v>72</v>
      </c>
      <c r="G6" s="45">
        <v>11</v>
      </c>
      <c r="H6" s="45">
        <v>2010</v>
      </c>
      <c r="I6" s="47">
        <v>465240.08</v>
      </c>
      <c r="M6" s="49">
        <f aca="true" t="shared" si="0" ref="M6:M17">IF(A6&gt;0,1,0)</f>
        <v>1</v>
      </c>
      <c r="N6" s="50">
        <f>DATE(B6,A6,1)</f>
        <v>40452</v>
      </c>
      <c r="O6" s="51">
        <f aca="true" t="shared" si="1" ref="O6:O17">IF(A6&gt;0,N6,"")</f>
        <v>40452</v>
      </c>
      <c r="S6" s="59">
        <f>IF(M6=1,(F6+1),"")</f>
        <v>1.1803</v>
      </c>
      <c r="T6" s="60">
        <f>IF(M6=1,C6/S6,"")</f>
        <v>406361.89951707196</v>
      </c>
    </row>
    <row r="7" spans="1:20" ht="12.75">
      <c r="A7" s="45">
        <v>11</v>
      </c>
      <c r="B7" s="45">
        <v>2010</v>
      </c>
      <c r="C7" s="47">
        <v>551876.1</v>
      </c>
      <c r="D7" s="47">
        <v>16556.28</v>
      </c>
      <c r="E7" s="47">
        <v>535319.82</v>
      </c>
      <c r="F7" s="48" t="s">
        <v>77</v>
      </c>
      <c r="G7" s="45">
        <v>12</v>
      </c>
      <c r="H7" s="45">
        <v>2010</v>
      </c>
      <c r="I7" s="47">
        <v>535319.82</v>
      </c>
      <c r="M7" s="49">
        <f t="shared" si="0"/>
        <v>1</v>
      </c>
      <c r="N7" s="50">
        <f aca="true" t="shared" si="2" ref="N7:N17">DATE(B7,A7,1)</f>
        <v>40483</v>
      </c>
      <c r="O7" s="51">
        <f t="shared" si="1"/>
        <v>40483</v>
      </c>
      <c r="S7" s="24">
        <f aca="true" t="shared" si="3" ref="S7:S17">IF(M7=1,(F7+1),"")</f>
        <v>1.1049</v>
      </c>
      <c r="T7" s="22">
        <f aca="true" t="shared" si="4" ref="T7:T17">IF(M7=1,C7/S7,"")</f>
        <v>499480.5864784143</v>
      </c>
    </row>
    <row r="8" spans="1:20" ht="12.75">
      <c r="A8" s="45">
        <v>12</v>
      </c>
      <c r="B8" s="45">
        <v>2010</v>
      </c>
      <c r="C8" s="47">
        <v>652971.36</v>
      </c>
      <c r="D8" s="47">
        <v>19589.14</v>
      </c>
      <c r="E8" s="47">
        <v>633382.22</v>
      </c>
      <c r="F8" s="48" t="s">
        <v>81</v>
      </c>
      <c r="G8" s="45">
        <v>1</v>
      </c>
      <c r="H8" s="45">
        <v>2011</v>
      </c>
      <c r="I8" s="47">
        <v>633382.22</v>
      </c>
      <c r="M8" s="49">
        <f t="shared" si="0"/>
        <v>1</v>
      </c>
      <c r="N8" s="50">
        <f t="shared" si="2"/>
        <v>40513</v>
      </c>
      <c r="O8" s="51">
        <f t="shared" si="1"/>
        <v>40513</v>
      </c>
      <c r="S8" s="24">
        <f t="shared" si="3"/>
        <v>1.0405</v>
      </c>
      <c r="T8" s="22">
        <f t="shared" si="4"/>
        <v>627555.3676117251</v>
      </c>
    </row>
    <row r="9" spans="1:20" ht="12.75">
      <c r="A9" s="45">
        <v>1</v>
      </c>
      <c r="B9" s="45">
        <v>2011</v>
      </c>
      <c r="C9" s="47">
        <v>863544.87</v>
      </c>
      <c r="D9" s="47">
        <v>25906.35</v>
      </c>
      <c r="E9" s="47">
        <v>837638.53</v>
      </c>
      <c r="F9" s="48" t="s">
        <v>88</v>
      </c>
      <c r="G9" s="45">
        <v>2</v>
      </c>
      <c r="H9" s="45">
        <v>2011</v>
      </c>
      <c r="I9" s="47">
        <v>837638.53</v>
      </c>
      <c r="M9" s="49">
        <f t="shared" si="0"/>
        <v>1</v>
      </c>
      <c r="N9" s="50">
        <f t="shared" si="2"/>
        <v>40544</v>
      </c>
      <c r="O9" s="51">
        <f t="shared" si="1"/>
        <v>40544</v>
      </c>
      <c r="S9" s="24">
        <f t="shared" si="3"/>
        <v>1.2734</v>
      </c>
      <c r="T9" s="22">
        <f t="shared" si="4"/>
        <v>678141.0947070833</v>
      </c>
    </row>
    <row r="10" spans="1:23" ht="12.75">
      <c r="A10" s="45">
        <v>2</v>
      </c>
      <c r="B10" s="45">
        <v>2011</v>
      </c>
      <c r="C10" s="47">
        <v>1173643.65</v>
      </c>
      <c r="D10" s="47">
        <v>35209.31</v>
      </c>
      <c r="E10" s="47">
        <v>1138434.34</v>
      </c>
      <c r="F10" s="48" t="s">
        <v>92</v>
      </c>
      <c r="G10" s="45">
        <v>3</v>
      </c>
      <c r="H10" s="45">
        <v>2011</v>
      </c>
      <c r="I10" s="47">
        <v>1138434.34</v>
      </c>
      <c r="J10" s="62">
        <f>1179443.82*(1/3)</f>
        <v>393147.94</v>
      </c>
      <c r="K10" s="62">
        <f>+C10-J10</f>
        <v>780495.71</v>
      </c>
      <c r="L10" s="63">
        <f>+W10</f>
        <v>-0.07918965318245674</v>
      </c>
      <c r="M10" s="49">
        <f t="shared" si="0"/>
        <v>1</v>
      </c>
      <c r="N10" s="50">
        <f t="shared" si="2"/>
        <v>40575</v>
      </c>
      <c r="O10" s="51">
        <f t="shared" si="1"/>
        <v>40575</v>
      </c>
      <c r="S10" s="24">
        <f t="shared" si="3"/>
        <v>1.3846</v>
      </c>
      <c r="T10" s="22">
        <f aca="true" t="shared" si="5" ref="T10:T15">IF(M10=1,C10/S10,"")</f>
        <v>847640.9432327024</v>
      </c>
      <c r="U10">
        <v>780495.71</v>
      </c>
      <c r="W10" s="2">
        <f>+(780495.71/847618.31)-1</f>
        <v>-0.07918965318245674</v>
      </c>
    </row>
    <row r="11" spans="1:20" ht="14.25" customHeight="1">
      <c r="A11" s="45">
        <v>3</v>
      </c>
      <c r="B11" s="45">
        <v>2011</v>
      </c>
      <c r="C11" s="47">
        <v>1073760.26</v>
      </c>
      <c r="D11" s="47">
        <v>32212.81</v>
      </c>
      <c r="E11" s="47">
        <v>1041547.46</v>
      </c>
      <c r="F11" s="48" t="s">
        <v>105</v>
      </c>
      <c r="G11" s="45">
        <v>4</v>
      </c>
      <c r="H11" s="45">
        <v>2011</v>
      </c>
      <c r="I11" s="47">
        <v>1041547.46</v>
      </c>
      <c r="M11" s="49">
        <f>IF(A11&gt;0,1,0)</f>
        <v>1</v>
      </c>
      <c r="N11" s="50">
        <f>DATE(B11,A11,1)</f>
        <v>40603</v>
      </c>
      <c r="O11" s="51">
        <f>IF(A11&gt;0,N11,"")</f>
        <v>40603</v>
      </c>
      <c r="S11" s="24">
        <f>IF(M11=1,(F11+1),"")</f>
        <v>1.0559</v>
      </c>
      <c r="T11" s="22">
        <f t="shared" si="5"/>
        <v>1016914.7267733687</v>
      </c>
    </row>
    <row r="12" spans="1:20" ht="12.75">
      <c r="A12" s="45">
        <v>4</v>
      </c>
      <c r="B12" s="45">
        <v>2011</v>
      </c>
      <c r="C12" s="47">
        <v>1109647.83</v>
      </c>
      <c r="D12" s="47">
        <v>33289.43</v>
      </c>
      <c r="E12" s="47">
        <v>1076358.4</v>
      </c>
      <c r="F12" s="48" t="s">
        <v>110</v>
      </c>
      <c r="G12" s="45">
        <v>5</v>
      </c>
      <c r="H12" s="45">
        <v>2011</v>
      </c>
      <c r="I12" s="47">
        <v>1076358.4</v>
      </c>
      <c r="M12" s="49">
        <f>IF(A12&gt;0,1,0)</f>
        <v>1</v>
      </c>
      <c r="N12" s="50">
        <f>DATE(B12,A12,1)</f>
        <v>40634</v>
      </c>
      <c r="O12" s="51">
        <f>IF(A12&gt;0,N12,"")</f>
        <v>40634</v>
      </c>
      <c r="S12" s="24">
        <f>IF(M12=1,(F12+1),"")</f>
        <v>1.1397</v>
      </c>
      <c r="T12" s="22">
        <f t="shared" si="5"/>
        <v>973631.5082916558</v>
      </c>
    </row>
    <row r="13" spans="1:20" ht="12.75">
      <c r="A13" s="45">
        <v>5</v>
      </c>
      <c r="B13" s="45">
        <v>2011</v>
      </c>
      <c r="C13" s="47">
        <v>866400.91</v>
      </c>
      <c r="D13" s="47">
        <v>25992.03</v>
      </c>
      <c r="E13" s="47">
        <v>840408.88</v>
      </c>
      <c r="F13" s="48" t="s">
        <v>115</v>
      </c>
      <c r="G13" s="45">
        <v>6</v>
      </c>
      <c r="H13" s="45">
        <v>2011</v>
      </c>
      <c r="I13" s="47">
        <v>840408.88</v>
      </c>
      <c r="M13" s="49">
        <f>IF(A13&gt;0,1,0)</f>
        <v>1</v>
      </c>
      <c r="N13" s="50">
        <f>DATE(B13,A13,1)</f>
        <v>40664</v>
      </c>
      <c r="O13" s="51">
        <f>IF(A13&gt;0,N13,"")</f>
        <v>40664</v>
      </c>
      <c r="S13" s="24">
        <f>IF(M13=1,(F13+1),"")</f>
        <v>1.2501</v>
      </c>
      <c r="T13" s="22">
        <f t="shared" si="5"/>
        <v>693065.2827773779</v>
      </c>
    </row>
    <row r="14" spans="1:20" ht="12.75">
      <c r="A14" s="45">
        <v>6</v>
      </c>
      <c r="B14" s="45">
        <v>2011</v>
      </c>
      <c r="C14" s="47">
        <v>700492.1</v>
      </c>
      <c r="D14" s="47">
        <v>21014.76</v>
      </c>
      <c r="E14" s="47">
        <v>679477.34</v>
      </c>
      <c r="F14" s="48" t="s">
        <v>119</v>
      </c>
      <c r="G14" s="45">
        <v>7</v>
      </c>
      <c r="H14" s="45">
        <v>2011</v>
      </c>
      <c r="I14" s="47">
        <v>679477.34</v>
      </c>
      <c r="M14" s="49">
        <f>IF(A14&gt;0,1,0)</f>
        <v>1</v>
      </c>
      <c r="N14" s="50">
        <f>DATE(B14,A14,1)</f>
        <v>40695</v>
      </c>
      <c r="O14" s="51">
        <f>IF(A14&gt;0,N14,"")</f>
        <v>40695</v>
      </c>
      <c r="S14" s="24">
        <f>IF(M14=1,(F14+1),"")</f>
        <v>1.1052</v>
      </c>
      <c r="T14" s="22">
        <f t="shared" si="5"/>
        <v>633814.7846543612</v>
      </c>
    </row>
    <row r="15" spans="1:20" ht="12.75">
      <c r="A15" s="45">
        <v>7</v>
      </c>
      <c r="B15" s="45">
        <v>2011</v>
      </c>
      <c r="C15" s="47">
        <v>585159.29</v>
      </c>
      <c r="D15" s="47">
        <v>17554.78</v>
      </c>
      <c r="E15" s="47">
        <v>567604.51</v>
      </c>
      <c r="F15" s="48" t="s">
        <v>123</v>
      </c>
      <c r="G15" s="45">
        <v>8</v>
      </c>
      <c r="H15" s="45">
        <v>2011</v>
      </c>
      <c r="I15" s="47">
        <v>567604.51</v>
      </c>
      <c r="J15" s="46"/>
      <c r="M15" s="49">
        <f>IF(A15&gt;0,1,0)</f>
        <v>1</v>
      </c>
      <c r="N15" s="50">
        <f>DATE(B15,A15,1)</f>
        <v>40725</v>
      </c>
      <c r="O15" s="51">
        <f>IF(A15&gt;0,N15,"")</f>
        <v>40725</v>
      </c>
      <c r="S15" s="24">
        <f>IF(M15=1,(F15+1),"")</f>
        <v>1.1175</v>
      </c>
      <c r="T15" s="22">
        <f t="shared" si="5"/>
        <v>523632.4742729307</v>
      </c>
    </row>
    <row r="16" spans="1:20" ht="12.75">
      <c r="A16" s="45">
        <v>8</v>
      </c>
      <c r="B16" s="45">
        <v>2011</v>
      </c>
      <c r="C16" s="47">
        <v>633172.96</v>
      </c>
      <c r="D16" s="47">
        <v>18995.19</v>
      </c>
      <c r="E16" s="47">
        <v>614177.77</v>
      </c>
      <c r="F16" s="48" t="s">
        <v>127</v>
      </c>
      <c r="G16" s="45">
        <v>9</v>
      </c>
      <c r="H16" s="45">
        <v>2011</v>
      </c>
      <c r="I16" s="47">
        <v>614177.77</v>
      </c>
      <c r="M16" s="49">
        <f t="shared" si="0"/>
        <v>1</v>
      </c>
      <c r="N16" s="50">
        <f t="shared" si="2"/>
        <v>40756</v>
      </c>
      <c r="O16" s="51">
        <f t="shared" si="1"/>
        <v>40756</v>
      </c>
      <c r="S16" s="24">
        <f t="shared" si="3"/>
        <v>1.1724999999999999</v>
      </c>
      <c r="T16" s="22">
        <f t="shared" si="4"/>
        <v>540019.5820895523</v>
      </c>
    </row>
    <row r="17" spans="1:20" ht="12.75">
      <c r="A17" s="45">
        <v>9</v>
      </c>
      <c r="B17" s="45">
        <v>2011</v>
      </c>
      <c r="C17" s="47">
        <v>597086.2</v>
      </c>
      <c r="D17" s="47">
        <v>17912.59</v>
      </c>
      <c r="E17" s="47">
        <v>579173.61</v>
      </c>
      <c r="F17" s="48" t="s">
        <v>132</v>
      </c>
      <c r="G17" s="45">
        <v>10</v>
      </c>
      <c r="H17" s="45">
        <v>2011</v>
      </c>
      <c r="I17" s="47">
        <v>579173.61</v>
      </c>
      <c r="M17" s="49">
        <f t="shared" si="0"/>
        <v>1</v>
      </c>
      <c r="N17" s="50">
        <f t="shared" si="2"/>
        <v>40787</v>
      </c>
      <c r="O17" s="51">
        <f t="shared" si="1"/>
        <v>40787</v>
      </c>
      <c r="S17" s="24">
        <f t="shared" si="3"/>
        <v>1.2285</v>
      </c>
      <c r="T17" s="22">
        <f t="shared" si="4"/>
        <v>486028.6528286528</v>
      </c>
    </row>
    <row r="18" spans="1:20" ht="12.75">
      <c r="A18" s="8"/>
      <c r="B18" s="8"/>
      <c r="C18" s="9">
        <f>SUM(C6:C17)</f>
        <v>9287384.48</v>
      </c>
      <c r="D18" s="9">
        <f>SUM(D6:D17)</f>
        <v>278621.54000000004</v>
      </c>
      <c r="E18" s="9">
        <f>SUM(E6:E17)</f>
        <v>9008762.959999999</v>
      </c>
      <c r="F18" s="10">
        <f>(C18/T18)-1</f>
        <v>0.17171944359087088</v>
      </c>
      <c r="G18" s="8"/>
      <c r="H18" s="8"/>
      <c r="I18" s="9">
        <f>SUM(I6:I17)</f>
        <v>9008762.959999999</v>
      </c>
      <c r="M18" s="49">
        <f>SUM(M6:M17)</f>
        <v>12</v>
      </c>
      <c r="N18" s="52"/>
      <c r="O18" s="52"/>
      <c r="R18" s="2">
        <f>(F6+F7+F8+F9+F10+F11+F12+F13+F14+F15+F16+F17)/M18</f>
        <v>0.17109166666666664</v>
      </c>
      <c r="T18" s="22">
        <f>SUM(T6:T17)</f>
        <v>7926286.903234896</v>
      </c>
    </row>
    <row r="19" ht="12.75">
      <c r="F19" s="63">
        <f>+((C18-J10)/T18)-1</f>
        <v>0.12211892511360678</v>
      </c>
    </row>
    <row r="20" ht="12.75">
      <c r="B20" t="s">
        <v>64</v>
      </c>
    </row>
    <row r="51" spans="1:13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 t="s">
        <v>58</v>
      </c>
      <c r="B53" s="4"/>
      <c r="C53" s="4"/>
      <c r="D53" s="4" t="str">
        <f>+B56</f>
        <v>2008-2009</v>
      </c>
      <c r="E53" s="4" t="s">
        <v>57</v>
      </c>
      <c r="F53" s="4"/>
      <c r="G53" s="4"/>
      <c r="H53" s="4"/>
      <c r="I53" s="4"/>
      <c r="J53" s="4"/>
      <c r="K53" s="4"/>
      <c r="L53" s="4"/>
      <c r="M53" s="4"/>
    </row>
    <row r="54" spans="1:9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59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6" ht="12.75">
      <c r="A56" s="28">
        <v>1</v>
      </c>
      <c r="B56" t="s">
        <v>69</v>
      </c>
      <c r="C56" s="29">
        <f>+C6+C7+C8</f>
        <v>1684476.4100000001</v>
      </c>
      <c r="D56" s="29">
        <f>+D6+D7+D8</f>
        <v>50534.29</v>
      </c>
      <c r="E56" s="29">
        <f>+E6+E7+E8</f>
        <v>1633942.1199999999</v>
      </c>
      <c r="F56" s="30">
        <f>(F6+F7+F8)/P56</f>
        <v>0.10856666666666666</v>
      </c>
      <c r="G56" s="28">
        <v>1</v>
      </c>
      <c r="H56" s="44" t="str">
        <f>+$B$56</f>
        <v>2008-2009</v>
      </c>
      <c r="I56" s="29">
        <f>+I6+I7+I8</f>
        <v>1633942.1199999999</v>
      </c>
      <c r="J56" s="29"/>
      <c r="K56" s="29"/>
      <c r="L56" s="29"/>
      <c r="M56" s="32">
        <f>+M6+M7+M8</f>
        <v>3</v>
      </c>
      <c r="P56" s="31">
        <f>+M6+M7+M8</f>
        <v>3</v>
      </c>
    </row>
    <row r="57" spans="1:16" ht="12.75">
      <c r="A57" s="28">
        <v>2</v>
      </c>
      <c r="B57" s="44" t="str">
        <f>+$B$56</f>
        <v>2008-2009</v>
      </c>
      <c r="C57" s="29">
        <f>+C9+C10+C11</f>
        <v>3110948.7800000003</v>
      </c>
      <c r="D57" s="29">
        <f>+D9+D10+D11</f>
        <v>93328.47</v>
      </c>
      <c r="E57" s="29">
        <f>+E9+E10+E11</f>
        <v>3017620.33</v>
      </c>
      <c r="F57" s="30">
        <f>(F7+F8+F9)/P57</f>
        <v>0.13959999999999997</v>
      </c>
      <c r="G57" s="28">
        <v>2</v>
      </c>
      <c r="H57" s="44" t="str">
        <f>+$B$56</f>
        <v>2008-2009</v>
      </c>
      <c r="I57" s="29">
        <f>+I9+I10+I11</f>
        <v>3017620.33</v>
      </c>
      <c r="J57" s="29"/>
      <c r="K57" s="29"/>
      <c r="L57" s="29"/>
      <c r="M57" s="32">
        <f>+M9+M10+M11</f>
        <v>3</v>
      </c>
      <c r="P57" s="31">
        <v>3</v>
      </c>
    </row>
    <row r="58" spans="1:16" ht="12.75">
      <c r="A58" s="28">
        <v>3</v>
      </c>
      <c r="B58" s="44" t="str">
        <f>+$B$56</f>
        <v>2008-2009</v>
      </c>
      <c r="C58" s="29">
        <f>+C12+C13+C14</f>
        <v>2676540.8400000003</v>
      </c>
      <c r="D58" s="29">
        <f>+D12+D13+D14</f>
        <v>80296.22</v>
      </c>
      <c r="E58" s="29">
        <f>+E12+E13+E14</f>
        <v>2596244.6199999996</v>
      </c>
      <c r="F58" s="30">
        <f>+F12+F13+F14/P58</f>
        <v>0.495</v>
      </c>
      <c r="G58" s="28">
        <v>3</v>
      </c>
      <c r="H58" s="44" t="str">
        <f>+$B$56</f>
        <v>2008-2009</v>
      </c>
      <c r="I58" s="29">
        <f>+I12+I13+I14</f>
        <v>2596244.6199999996</v>
      </c>
      <c r="J58" s="29"/>
      <c r="K58" s="29"/>
      <c r="L58" s="29"/>
      <c r="M58" s="32">
        <f>+M12+M13+M14</f>
        <v>3</v>
      </c>
      <c r="P58" s="31">
        <v>1</v>
      </c>
    </row>
    <row r="59" spans="1:16" ht="12.75">
      <c r="A59" s="28">
        <v>4</v>
      </c>
      <c r="B59" s="44" t="str">
        <f>+$B$56</f>
        <v>2008-2009</v>
      </c>
      <c r="C59" s="29">
        <f>+C15+C16+C17</f>
        <v>1815418.45</v>
      </c>
      <c r="D59" s="29">
        <f>+D15+D16+D17</f>
        <v>54462.56</v>
      </c>
      <c r="E59" s="29">
        <f>+E15+E16+E17</f>
        <v>1760955.8900000001</v>
      </c>
      <c r="F59" s="30">
        <v>0</v>
      </c>
      <c r="G59" s="28">
        <v>4</v>
      </c>
      <c r="H59" s="44" t="str">
        <f>+$B$56</f>
        <v>2008-2009</v>
      </c>
      <c r="I59" s="29">
        <f>+I15+I16+I17</f>
        <v>1760955.8900000001</v>
      </c>
      <c r="J59" s="29"/>
      <c r="K59" s="29"/>
      <c r="L59" s="29"/>
      <c r="M59" s="32">
        <f>+M15+M16+M17</f>
        <v>3</v>
      </c>
      <c r="P59" s="31">
        <v>0</v>
      </c>
    </row>
    <row r="60" spans="1:13" ht="12.75">
      <c r="A60" s="5"/>
      <c r="B60" s="5"/>
      <c r="C60" s="6">
        <f>SUM(C48:C59)</f>
        <v>9287384.48</v>
      </c>
      <c r="D60" s="6">
        <f>SUM(D48:D59)</f>
        <v>278621.54000000004</v>
      </c>
      <c r="E60" s="6">
        <f>SUM(E48:E59)</f>
        <v>9008762.96</v>
      </c>
      <c r="F60" s="7">
        <f>+F18</f>
        <v>0.17171944359087088</v>
      </c>
      <c r="G60" s="5"/>
      <c r="H60" s="5"/>
      <c r="I60" s="6">
        <f>SUM(I48:I59)</f>
        <v>9008762.96</v>
      </c>
      <c r="J60" s="6"/>
      <c r="K60" s="6"/>
      <c r="L60" s="6"/>
      <c r="M60" s="33">
        <f>SUM(M48:M59)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9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10.421875" style="0" customWidth="1"/>
    <col min="9" max="9" width="16.140625" style="0" customWidth="1"/>
    <col min="10" max="10" width="17.8515625" style="0" bestFit="1" customWidth="1"/>
    <col min="14" max="14" width="12.140625" style="0" customWidth="1"/>
    <col min="19" max="19" width="10.140625" style="0" bestFit="1" customWidth="1"/>
  </cols>
  <sheetData>
    <row r="1" spans="1:9" ht="12.75">
      <c r="A1" s="16"/>
      <c r="B1" s="13"/>
      <c r="C1" s="13" t="s">
        <v>40</v>
      </c>
      <c r="D1" s="13"/>
      <c r="E1" s="13"/>
      <c r="F1" s="13"/>
      <c r="G1" s="13"/>
      <c r="H1" s="13"/>
      <c r="I1" s="13"/>
    </row>
    <row r="2" spans="1:16" ht="12.75">
      <c r="A2" s="13" t="s">
        <v>53</v>
      </c>
      <c r="B2" s="13"/>
      <c r="C2" s="13" t="s">
        <v>41</v>
      </c>
      <c r="D2" s="13"/>
      <c r="E2" s="13"/>
      <c r="F2" s="13"/>
      <c r="G2" s="13"/>
      <c r="H2" s="13"/>
      <c r="I2" s="13"/>
      <c r="N2">
        <f>+B6-1</f>
        <v>2009</v>
      </c>
      <c r="O2" t="s">
        <v>3</v>
      </c>
      <c r="P2">
        <f>+B6</f>
        <v>2010</v>
      </c>
    </row>
    <row r="3" spans="1:9" ht="12.75">
      <c r="A3" s="13"/>
      <c r="B3" s="13"/>
      <c r="C3" s="13" t="s">
        <v>26</v>
      </c>
      <c r="D3" s="13">
        <f>+B6</f>
        <v>2010</v>
      </c>
      <c r="E3" s="13" t="s">
        <v>3</v>
      </c>
      <c r="F3" s="13">
        <f>+B6+1</f>
        <v>2011</v>
      </c>
      <c r="G3" s="13"/>
      <c r="H3" s="13"/>
      <c r="I3" s="13"/>
    </row>
    <row r="4" spans="1:9" ht="12.75">
      <c r="A4" s="13"/>
      <c r="B4" s="13" t="s">
        <v>4</v>
      </c>
      <c r="C4" s="13" t="s">
        <v>19</v>
      </c>
      <c r="D4" s="13" t="s">
        <v>27</v>
      </c>
      <c r="E4" s="13" t="s">
        <v>28</v>
      </c>
      <c r="F4" s="13" t="s">
        <v>21</v>
      </c>
      <c r="G4" s="13" t="s">
        <v>22</v>
      </c>
      <c r="H4" s="13"/>
      <c r="I4" s="13" t="s">
        <v>42</v>
      </c>
    </row>
    <row r="5" spans="1:9" ht="12.75">
      <c r="A5" s="13"/>
      <c r="B5" s="13" t="s">
        <v>14</v>
      </c>
      <c r="C5" s="13"/>
      <c r="D5" s="13"/>
      <c r="E5" s="13"/>
      <c r="F5" s="13"/>
      <c r="G5" s="13" t="s">
        <v>14</v>
      </c>
      <c r="H5" s="13"/>
      <c r="I5" s="13"/>
    </row>
    <row r="6" spans="1:19" ht="12.75">
      <c r="A6" s="45">
        <v>10</v>
      </c>
      <c r="B6" s="45">
        <v>2010</v>
      </c>
      <c r="C6" s="47">
        <v>313355.55</v>
      </c>
      <c r="D6" s="47">
        <v>9400.67</v>
      </c>
      <c r="E6" s="47">
        <v>303954.88</v>
      </c>
      <c r="F6" s="48" t="s">
        <v>74</v>
      </c>
      <c r="G6" s="45">
        <v>11</v>
      </c>
      <c r="H6" s="45">
        <v>2010</v>
      </c>
      <c r="I6" s="47">
        <v>303954.88</v>
      </c>
      <c r="J6" s="46"/>
      <c r="M6">
        <f aca="true" t="shared" si="0" ref="M6:M17">IF(A6&gt;0,1,0)</f>
        <v>1</v>
      </c>
      <c r="N6" s="25">
        <f>DATE(B6,A6,1)</f>
        <v>40452</v>
      </c>
      <c r="O6" s="23">
        <f aca="true" t="shared" si="1" ref="O6:O17">IF(B6&gt;0,N6,"")</f>
        <v>40452</v>
      </c>
      <c r="R6" s="24">
        <f>IF(M6=1,(F6+1),"")</f>
        <v>1.1657</v>
      </c>
      <c r="S6" s="22">
        <f>IF(M6=1,C6/R6,"")</f>
        <v>268813.2023676761</v>
      </c>
    </row>
    <row r="7" spans="1:19" ht="12.75">
      <c r="A7" s="45">
        <v>11</v>
      </c>
      <c r="B7" s="45">
        <v>2010</v>
      </c>
      <c r="C7" s="47">
        <v>422392.88</v>
      </c>
      <c r="D7" s="47">
        <v>12671.79</v>
      </c>
      <c r="E7" s="47">
        <v>409721.09</v>
      </c>
      <c r="F7" s="48" t="s">
        <v>78</v>
      </c>
      <c r="G7" s="45">
        <v>12</v>
      </c>
      <c r="H7" s="45">
        <v>2010</v>
      </c>
      <c r="I7" s="47">
        <v>409721.09</v>
      </c>
      <c r="M7">
        <f t="shared" si="0"/>
        <v>1</v>
      </c>
      <c r="N7" s="25">
        <f aca="true" t="shared" si="2" ref="N7:N17">DATE(B7,A7,1)</f>
        <v>40483</v>
      </c>
      <c r="O7" s="23">
        <f t="shared" si="1"/>
        <v>40483</v>
      </c>
      <c r="R7" s="24">
        <f aca="true" t="shared" si="3" ref="R7:R17">IF(M7=1,(F7+1),"")</f>
        <v>1.2365</v>
      </c>
      <c r="S7" s="22">
        <f aca="true" t="shared" si="4" ref="S7:S17">IF(M7=1,C7/R7,"")</f>
        <v>341603.6231298019</v>
      </c>
    </row>
    <row r="8" spans="1:19" ht="12.75">
      <c r="A8" s="45">
        <v>12</v>
      </c>
      <c r="B8" s="45">
        <v>2010</v>
      </c>
      <c r="C8" s="47">
        <v>409944.79</v>
      </c>
      <c r="D8" s="47">
        <v>12298.34</v>
      </c>
      <c r="E8" s="47">
        <v>397646.45</v>
      </c>
      <c r="F8" s="48" t="s">
        <v>82</v>
      </c>
      <c r="G8" s="45">
        <v>1</v>
      </c>
      <c r="H8" s="45">
        <v>2011</v>
      </c>
      <c r="I8" s="47">
        <v>397646.45</v>
      </c>
      <c r="M8">
        <f t="shared" si="0"/>
        <v>1</v>
      </c>
      <c r="N8" s="25">
        <f t="shared" si="2"/>
        <v>40513</v>
      </c>
      <c r="O8" s="23">
        <f t="shared" si="1"/>
        <v>40513</v>
      </c>
      <c r="R8" s="24">
        <f t="shared" si="3"/>
        <v>0.8728</v>
      </c>
      <c r="S8" s="22">
        <f t="shared" si="4"/>
        <v>469689.26443629694</v>
      </c>
    </row>
    <row r="9" spans="1:19" ht="12.75">
      <c r="A9" s="45">
        <v>1</v>
      </c>
      <c r="B9" s="45">
        <v>2011</v>
      </c>
      <c r="C9" s="47">
        <v>562647.07</v>
      </c>
      <c r="D9" s="47">
        <v>16879.41</v>
      </c>
      <c r="E9" s="47">
        <v>545767.66</v>
      </c>
      <c r="F9" s="48" t="s">
        <v>89</v>
      </c>
      <c r="G9" s="45">
        <v>2</v>
      </c>
      <c r="H9" s="45">
        <v>2011</v>
      </c>
      <c r="I9" s="47">
        <v>545767.66</v>
      </c>
      <c r="M9">
        <f t="shared" si="0"/>
        <v>1</v>
      </c>
      <c r="N9" s="25">
        <f t="shared" si="2"/>
        <v>40544</v>
      </c>
      <c r="O9" s="23">
        <f t="shared" si="1"/>
        <v>40544</v>
      </c>
      <c r="R9" s="24">
        <f t="shared" si="3"/>
        <v>1.3176</v>
      </c>
      <c r="S9" s="22">
        <f t="shared" si="4"/>
        <v>427024.18791742553</v>
      </c>
    </row>
    <row r="10" spans="1:19" ht="12.75">
      <c r="A10" s="45">
        <v>2</v>
      </c>
      <c r="B10" s="45">
        <v>2011</v>
      </c>
      <c r="C10" s="47">
        <v>436606.28</v>
      </c>
      <c r="D10" s="47">
        <v>13098.19</v>
      </c>
      <c r="E10" s="47">
        <v>423508.09</v>
      </c>
      <c r="F10" s="48" t="s">
        <v>96</v>
      </c>
      <c r="G10" s="45">
        <v>3</v>
      </c>
      <c r="H10" s="45">
        <v>2011</v>
      </c>
      <c r="I10" s="47">
        <v>423508.09</v>
      </c>
      <c r="M10">
        <f t="shared" si="0"/>
        <v>1</v>
      </c>
      <c r="N10" s="25">
        <f t="shared" si="2"/>
        <v>40575</v>
      </c>
      <c r="O10" s="23">
        <f t="shared" si="1"/>
        <v>40575</v>
      </c>
      <c r="R10" s="24">
        <f t="shared" si="3"/>
        <v>0.8110999999999999</v>
      </c>
      <c r="S10" s="22">
        <f t="shared" si="4"/>
        <v>538289.0888916288</v>
      </c>
    </row>
    <row r="11" spans="1:19" s="46" customFormat="1" ht="12.75">
      <c r="A11" s="45">
        <v>3</v>
      </c>
      <c r="B11" s="45">
        <v>2011</v>
      </c>
      <c r="C11" s="47">
        <v>716297.08</v>
      </c>
      <c r="D11" s="47">
        <v>21488.91</v>
      </c>
      <c r="E11" s="47">
        <v>694808.17</v>
      </c>
      <c r="F11" s="48" t="s">
        <v>107</v>
      </c>
      <c r="G11" s="45">
        <v>4</v>
      </c>
      <c r="H11" s="45">
        <v>2011</v>
      </c>
      <c r="I11" s="47">
        <v>694808.17</v>
      </c>
      <c r="M11" s="46">
        <f t="shared" si="0"/>
        <v>1</v>
      </c>
      <c r="N11" s="57">
        <f t="shared" si="2"/>
        <v>40603</v>
      </c>
      <c r="O11" s="58">
        <f t="shared" si="1"/>
        <v>40603</v>
      </c>
      <c r="R11" s="59">
        <f t="shared" si="3"/>
        <v>1.256</v>
      </c>
      <c r="S11" s="60">
        <f t="shared" si="4"/>
        <v>570300.2229299363</v>
      </c>
    </row>
    <row r="12" spans="1:19" ht="12.75">
      <c r="A12" s="45">
        <v>4</v>
      </c>
      <c r="B12" s="45">
        <v>2011</v>
      </c>
      <c r="C12" s="47">
        <v>647661.07</v>
      </c>
      <c r="D12" s="47">
        <v>19429.83</v>
      </c>
      <c r="E12" s="47">
        <v>628231.24</v>
      </c>
      <c r="F12" s="48" t="s">
        <v>111</v>
      </c>
      <c r="G12" s="45">
        <v>5</v>
      </c>
      <c r="H12" s="45">
        <v>2011</v>
      </c>
      <c r="I12" s="47">
        <v>628231.24</v>
      </c>
      <c r="M12">
        <f t="shared" si="0"/>
        <v>1</v>
      </c>
      <c r="N12" s="25">
        <f t="shared" si="2"/>
        <v>40634</v>
      </c>
      <c r="O12" s="23">
        <f t="shared" si="1"/>
        <v>40634</v>
      </c>
      <c r="R12" s="24">
        <f t="shared" si="3"/>
        <v>1.2374</v>
      </c>
      <c r="S12" s="22">
        <f t="shared" si="4"/>
        <v>523404.77614352666</v>
      </c>
    </row>
    <row r="13" spans="1:19" ht="12.75">
      <c r="A13" s="45">
        <v>5</v>
      </c>
      <c r="B13" s="45">
        <v>2011</v>
      </c>
      <c r="C13" s="47">
        <v>564518.04</v>
      </c>
      <c r="D13" s="47">
        <v>16935.54</v>
      </c>
      <c r="E13" s="47">
        <v>547582.5</v>
      </c>
      <c r="F13" s="48" t="s">
        <v>116</v>
      </c>
      <c r="G13" s="45">
        <v>6</v>
      </c>
      <c r="H13" s="45">
        <v>2011</v>
      </c>
      <c r="I13" s="47">
        <v>547582.5</v>
      </c>
      <c r="M13">
        <f t="shared" si="0"/>
        <v>1</v>
      </c>
      <c r="N13" s="25">
        <f t="shared" si="2"/>
        <v>40664</v>
      </c>
      <c r="O13" s="23">
        <f t="shared" si="1"/>
        <v>40664</v>
      </c>
      <c r="R13" s="24">
        <f t="shared" si="3"/>
        <v>1.1928</v>
      </c>
      <c r="S13" s="22">
        <f t="shared" si="4"/>
        <v>473271.32796780684</v>
      </c>
    </row>
    <row r="14" spans="1:19" ht="12.75">
      <c r="A14" s="45">
        <v>6</v>
      </c>
      <c r="B14" s="45">
        <v>2011</v>
      </c>
      <c r="C14" s="47">
        <v>532015.7</v>
      </c>
      <c r="D14" s="47">
        <v>15960.47</v>
      </c>
      <c r="E14" s="47">
        <v>516055.23</v>
      </c>
      <c r="F14" s="48" t="s">
        <v>120</v>
      </c>
      <c r="G14" s="45">
        <v>7</v>
      </c>
      <c r="H14" s="45">
        <v>2011</v>
      </c>
      <c r="I14" s="47">
        <v>516055.23</v>
      </c>
      <c r="M14">
        <f t="shared" si="0"/>
        <v>1</v>
      </c>
      <c r="N14" s="25">
        <f t="shared" si="2"/>
        <v>40695</v>
      </c>
      <c r="O14" s="23">
        <f t="shared" si="1"/>
        <v>40695</v>
      </c>
      <c r="R14" s="24">
        <f t="shared" si="3"/>
        <v>1.1232</v>
      </c>
      <c r="S14" s="22">
        <f t="shared" si="4"/>
        <v>473660.7015669515</v>
      </c>
    </row>
    <row r="15" spans="1:19" ht="12.75">
      <c r="A15" s="45">
        <v>7</v>
      </c>
      <c r="B15" s="45">
        <v>2011</v>
      </c>
      <c r="C15" s="47">
        <v>409652.31</v>
      </c>
      <c r="D15" s="47">
        <v>12289.57</v>
      </c>
      <c r="E15" s="47">
        <v>397362.74</v>
      </c>
      <c r="F15" s="48" t="s">
        <v>124</v>
      </c>
      <c r="G15" s="45">
        <v>8</v>
      </c>
      <c r="H15" s="45">
        <v>2011</v>
      </c>
      <c r="I15" s="47">
        <v>397362.74</v>
      </c>
      <c r="M15">
        <f t="shared" si="0"/>
        <v>1</v>
      </c>
      <c r="N15" s="25">
        <f t="shared" si="2"/>
        <v>40725</v>
      </c>
      <c r="O15" s="23">
        <f t="shared" si="1"/>
        <v>40725</v>
      </c>
      <c r="R15" s="24">
        <f t="shared" si="3"/>
        <v>1.1685</v>
      </c>
      <c r="S15" s="22">
        <f t="shared" si="4"/>
        <v>350579.64056482667</v>
      </c>
    </row>
    <row r="16" spans="1:19" ht="12.75">
      <c r="A16" s="45">
        <v>8</v>
      </c>
      <c r="B16" s="45">
        <v>2011</v>
      </c>
      <c r="C16" s="47">
        <v>391281.52</v>
      </c>
      <c r="D16" s="47">
        <v>11738.45</v>
      </c>
      <c r="E16" s="47">
        <v>379543.07</v>
      </c>
      <c r="F16" s="48" t="s">
        <v>128</v>
      </c>
      <c r="G16" s="45">
        <v>9</v>
      </c>
      <c r="H16" s="45">
        <v>2011</v>
      </c>
      <c r="I16" s="47">
        <v>379543.07</v>
      </c>
      <c r="J16" s="68"/>
      <c r="M16">
        <f t="shared" si="0"/>
        <v>1</v>
      </c>
      <c r="N16" s="25">
        <f t="shared" si="2"/>
        <v>40756</v>
      </c>
      <c r="O16" s="23">
        <f t="shared" si="1"/>
        <v>40756</v>
      </c>
      <c r="R16" s="24">
        <f t="shared" si="3"/>
        <v>1.1446</v>
      </c>
      <c r="S16" s="22">
        <f t="shared" si="4"/>
        <v>341850.0087366766</v>
      </c>
    </row>
    <row r="17" spans="1:19" s="46" customFormat="1" ht="12.75">
      <c r="A17" s="45">
        <v>9</v>
      </c>
      <c r="B17" s="45">
        <v>2011</v>
      </c>
      <c r="C17" s="47">
        <v>365812.88</v>
      </c>
      <c r="D17" s="47">
        <v>10974.39</v>
      </c>
      <c r="E17" s="47">
        <v>354838.49</v>
      </c>
      <c r="F17" s="48" t="s">
        <v>133</v>
      </c>
      <c r="G17" s="45">
        <v>10</v>
      </c>
      <c r="H17" s="45">
        <v>2011</v>
      </c>
      <c r="I17" s="47">
        <v>354838.49</v>
      </c>
      <c r="M17" s="46">
        <f t="shared" si="0"/>
        <v>1</v>
      </c>
      <c r="N17" s="57">
        <f t="shared" si="2"/>
        <v>40787</v>
      </c>
      <c r="O17" s="58">
        <f t="shared" si="1"/>
        <v>40787</v>
      </c>
      <c r="R17" s="59">
        <f t="shared" si="3"/>
        <v>1.3676</v>
      </c>
      <c r="S17" s="60">
        <f t="shared" si="4"/>
        <v>267485.2880959345</v>
      </c>
    </row>
    <row r="18" spans="1:19" ht="12.75">
      <c r="A18" s="17"/>
      <c r="B18" s="17"/>
      <c r="C18" s="18">
        <f>SUM(C6:C17)</f>
        <v>5772185.169999999</v>
      </c>
      <c r="D18" s="18">
        <f>SUM(D6:D17)</f>
        <v>173165.56000000006</v>
      </c>
      <c r="E18" s="18">
        <f>SUM(E6:E17)</f>
        <v>5599019.610000001</v>
      </c>
      <c r="F18" s="19">
        <f>(C18/S18)-1</f>
        <v>0.14391953290308335</v>
      </c>
      <c r="G18" s="17"/>
      <c r="H18" s="17"/>
      <c r="I18" s="18">
        <f>SUM(I6:I17)</f>
        <v>5599019.610000001</v>
      </c>
      <c r="M18">
        <f>SUM(M6:M17)</f>
        <v>12</v>
      </c>
      <c r="O18" s="2">
        <f>(F6+F7+F8+F9+F10+F11+F12+F13+F14+F15+F16+F17)/M18</f>
        <v>0.1578166666666667</v>
      </c>
      <c r="S18" s="22">
        <f>SUM(S6:S17)</f>
        <v>5045971.332748488</v>
      </c>
    </row>
    <row r="22" spans="1:7" ht="12.75">
      <c r="A22" s="14"/>
      <c r="B22" s="14"/>
      <c r="C22" s="14" t="s">
        <v>30</v>
      </c>
      <c r="D22" s="14"/>
      <c r="E22" s="14"/>
      <c r="F22" s="14"/>
      <c r="G22" s="14"/>
    </row>
    <row r="23" spans="1:7" ht="12.75">
      <c r="A23" s="14"/>
      <c r="B23" s="14"/>
      <c r="C23" s="14" t="s">
        <v>43</v>
      </c>
      <c r="D23" s="14"/>
      <c r="E23" s="14"/>
      <c r="F23" s="14"/>
      <c r="G23" s="14"/>
    </row>
    <row r="24" spans="1:7" ht="12.75">
      <c r="A24" s="14"/>
      <c r="B24" s="14"/>
      <c r="C24" s="14" t="s">
        <v>32</v>
      </c>
      <c r="D24" s="14">
        <f>+B27</f>
        <v>2010</v>
      </c>
      <c r="E24" s="14" t="s">
        <v>3</v>
      </c>
      <c r="F24" s="14">
        <f>+B27+1</f>
        <v>2011</v>
      </c>
      <c r="G24" s="14"/>
    </row>
    <row r="25" spans="1:7" ht="12.75">
      <c r="A25" s="14" t="s">
        <v>33</v>
      </c>
      <c r="B25" s="14" t="s">
        <v>14</v>
      </c>
      <c r="C25" s="14" t="s">
        <v>34</v>
      </c>
      <c r="D25" s="14" t="s">
        <v>35</v>
      </c>
      <c r="E25" s="14" t="s">
        <v>44</v>
      </c>
      <c r="F25" s="14" t="s">
        <v>36</v>
      </c>
      <c r="G25" s="14" t="s">
        <v>39</v>
      </c>
    </row>
    <row r="26" spans="1:2" ht="12.75">
      <c r="A26" t="s">
        <v>14</v>
      </c>
      <c r="B26" t="s">
        <v>15</v>
      </c>
    </row>
    <row r="27" spans="1:7" ht="12.75">
      <c r="A27" s="45">
        <v>11</v>
      </c>
      <c r="B27" s="45">
        <v>2010</v>
      </c>
      <c r="C27" s="47">
        <v>12401.36</v>
      </c>
      <c r="D27" s="47">
        <v>291553.52</v>
      </c>
      <c r="E27" s="47">
        <v>8333.33</v>
      </c>
      <c r="F27" s="47">
        <v>283220.19</v>
      </c>
      <c r="G27" s="47">
        <v>303954.88</v>
      </c>
    </row>
    <row r="28" spans="1:7" ht="12.75">
      <c r="A28" s="45">
        <v>12</v>
      </c>
      <c r="B28" s="45">
        <v>2010</v>
      </c>
      <c r="C28" s="47">
        <v>16716.62</v>
      </c>
      <c r="D28" s="47">
        <v>393004.47</v>
      </c>
      <c r="E28" s="47">
        <v>8333.33</v>
      </c>
      <c r="F28" s="47">
        <v>384671.14</v>
      </c>
      <c r="G28" s="47">
        <v>409721.09</v>
      </c>
    </row>
    <row r="29" spans="1:7" ht="12.75">
      <c r="A29" s="45">
        <v>1</v>
      </c>
      <c r="B29" s="45">
        <v>2011</v>
      </c>
      <c r="C29" s="47">
        <v>16223.98</v>
      </c>
      <c r="D29" s="47">
        <v>381422.47</v>
      </c>
      <c r="E29" s="47">
        <v>8333.33</v>
      </c>
      <c r="F29" s="47">
        <v>373089.14</v>
      </c>
      <c r="G29" s="47">
        <v>397646.45</v>
      </c>
    </row>
    <row r="30" spans="1:7" ht="12.75">
      <c r="A30" s="45">
        <v>2</v>
      </c>
      <c r="B30" s="45">
        <v>2011</v>
      </c>
      <c r="C30" s="47">
        <v>22267.32</v>
      </c>
      <c r="D30" s="47">
        <v>523500.34</v>
      </c>
      <c r="E30" s="47">
        <v>8333.33</v>
      </c>
      <c r="F30" s="47">
        <v>515167.01</v>
      </c>
      <c r="G30" s="47">
        <v>545767.66</v>
      </c>
    </row>
    <row r="31" spans="1:7" ht="12.75">
      <c r="A31" s="45">
        <v>3</v>
      </c>
      <c r="B31" s="45">
        <v>2011</v>
      </c>
      <c r="C31" s="47">
        <v>17279.13</v>
      </c>
      <c r="D31" s="47">
        <v>406228.96</v>
      </c>
      <c r="E31" s="47">
        <v>8333.33</v>
      </c>
      <c r="F31" s="47">
        <v>397895.63</v>
      </c>
      <c r="G31" s="47">
        <v>423508.09</v>
      </c>
    </row>
    <row r="32" spans="1:7" ht="12.75">
      <c r="A32" s="45">
        <v>4</v>
      </c>
      <c r="B32" s="45">
        <v>2011</v>
      </c>
      <c r="C32" s="47">
        <v>28348.17</v>
      </c>
      <c r="D32" s="47">
        <v>666459.99</v>
      </c>
      <c r="E32" s="47">
        <v>8333.33</v>
      </c>
      <c r="F32" s="47">
        <v>658126.66</v>
      </c>
      <c r="G32" s="47">
        <v>694808.17</v>
      </c>
    </row>
    <row r="33" spans="1:7" ht="12.75">
      <c r="A33" s="45">
        <v>5</v>
      </c>
      <c r="B33" s="45">
        <v>2011</v>
      </c>
      <c r="C33" s="47">
        <v>25631.83</v>
      </c>
      <c r="D33" s="47">
        <v>602599.4</v>
      </c>
      <c r="E33" s="47">
        <v>8333.33</v>
      </c>
      <c r="F33" s="47">
        <v>594266.07</v>
      </c>
      <c r="G33" s="47">
        <v>628231.24</v>
      </c>
    </row>
    <row r="34" spans="1:7" ht="12.75">
      <c r="A34" s="45">
        <v>6</v>
      </c>
      <c r="B34" s="45">
        <v>2011</v>
      </c>
      <c r="C34" s="47">
        <v>22341.37</v>
      </c>
      <c r="D34" s="47">
        <v>525241.13</v>
      </c>
      <c r="E34" s="47">
        <v>8333.33</v>
      </c>
      <c r="F34" s="47">
        <v>516907.8</v>
      </c>
      <c r="G34" s="47">
        <v>547582.5</v>
      </c>
    </row>
    <row r="35" spans="1:7" ht="12.75">
      <c r="A35" s="45">
        <v>7</v>
      </c>
      <c r="B35" s="45">
        <v>2011</v>
      </c>
      <c r="C35" s="47">
        <v>21055.05</v>
      </c>
      <c r="D35" s="47">
        <v>495000.18</v>
      </c>
      <c r="E35" s="47">
        <v>8333.33</v>
      </c>
      <c r="F35" s="47">
        <v>486666.85</v>
      </c>
      <c r="G35" s="47">
        <v>516055.23</v>
      </c>
    </row>
    <row r="36" spans="1:7" ht="12.75">
      <c r="A36" s="45">
        <v>8</v>
      </c>
      <c r="B36" s="45">
        <v>2011</v>
      </c>
      <c r="C36" s="47">
        <v>16212.4</v>
      </c>
      <c r="D36" s="47">
        <v>381150.34</v>
      </c>
      <c r="E36" s="47">
        <v>8333.33</v>
      </c>
      <c r="F36" s="47">
        <v>372817.01</v>
      </c>
      <c r="G36" s="47">
        <v>397362.74</v>
      </c>
    </row>
    <row r="37" spans="1:9" ht="12.75">
      <c r="A37" s="45">
        <v>9</v>
      </c>
      <c r="B37" s="45">
        <v>2011</v>
      </c>
      <c r="C37" s="47">
        <v>15485.36</v>
      </c>
      <c r="D37" s="47">
        <v>364057.72</v>
      </c>
      <c r="E37" s="47">
        <v>8333.37</v>
      </c>
      <c r="F37" s="47">
        <f>355724.39-0.04</f>
        <v>355724.35000000003</v>
      </c>
      <c r="G37" s="47">
        <v>379543.07</v>
      </c>
      <c r="I37" s="56"/>
    </row>
    <row r="38" spans="1:9" ht="12.75">
      <c r="A38" s="45">
        <v>10</v>
      </c>
      <c r="B38" s="45">
        <v>2011</v>
      </c>
      <c r="C38" s="47">
        <f>+I17*0.0408</f>
        <v>14477.410392</v>
      </c>
      <c r="D38" s="47">
        <f>+I17-C38</f>
        <v>340361.079608</v>
      </c>
      <c r="E38" s="47">
        <v>8333.33</v>
      </c>
      <c r="F38" s="47">
        <v>332027.749608</v>
      </c>
      <c r="G38" s="47">
        <v>354838.49</v>
      </c>
      <c r="I38" s="56"/>
    </row>
    <row r="39" spans="1:7" ht="12.75">
      <c r="A39" s="14"/>
      <c r="B39" s="14"/>
      <c r="C39" s="15">
        <f>SUM(C27:C38)</f>
        <v>228440.00039199996</v>
      </c>
      <c r="D39" s="15">
        <f>SUM(D27:D38)</f>
        <v>5370579.599607999</v>
      </c>
      <c r="E39" s="15">
        <f>SUM(E27:E38)</f>
        <v>100000</v>
      </c>
      <c r="F39" s="15">
        <f>SUM(F27:F38)</f>
        <v>5270579.5996079985</v>
      </c>
      <c r="G39" s="15">
        <f>SUM(G27:G38)</f>
        <v>5599019.610000001</v>
      </c>
    </row>
    <row r="71" spans="1:9" ht="12.75">
      <c r="A71" s="16"/>
      <c r="B71" s="13"/>
      <c r="C71" s="13" t="s">
        <v>40</v>
      </c>
      <c r="D71" s="13"/>
      <c r="E71" s="13"/>
      <c r="F71" s="13"/>
      <c r="G71" s="13"/>
      <c r="H71" s="13"/>
      <c r="I71" s="13"/>
    </row>
    <row r="72" spans="1:9" ht="12.75">
      <c r="A72" s="13" t="s">
        <v>53</v>
      </c>
      <c r="B72" s="13"/>
      <c r="C72" s="13" t="s">
        <v>41</v>
      </c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 t="s">
        <v>26</v>
      </c>
      <c r="D73" s="13">
        <f>+B6</f>
        <v>2010</v>
      </c>
      <c r="E73" s="13" t="s">
        <v>3</v>
      </c>
      <c r="F73" s="13">
        <f>+B6+1</f>
        <v>2011</v>
      </c>
      <c r="G73" s="13"/>
      <c r="H73" s="13"/>
      <c r="I73" s="13"/>
    </row>
    <row r="74" spans="1:9" ht="12.75">
      <c r="A74" s="13" t="s">
        <v>56</v>
      </c>
      <c r="B74" s="13" t="s">
        <v>4</v>
      </c>
      <c r="C74" s="13" t="s">
        <v>19</v>
      </c>
      <c r="D74" s="13" t="s">
        <v>27</v>
      </c>
      <c r="E74" s="13" t="s">
        <v>28</v>
      </c>
      <c r="F74" s="13" t="s">
        <v>21</v>
      </c>
      <c r="G74" s="13" t="s">
        <v>22</v>
      </c>
      <c r="H74" s="13"/>
      <c r="I74" s="13" t="s">
        <v>42</v>
      </c>
    </row>
    <row r="75" spans="1:9" ht="12.75">
      <c r="A75" s="13"/>
      <c r="B75" s="13" t="s">
        <v>15</v>
      </c>
      <c r="C75" s="13"/>
      <c r="D75" s="13"/>
      <c r="E75" s="13"/>
      <c r="F75" s="13"/>
      <c r="G75" s="13" t="s">
        <v>61</v>
      </c>
      <c r="H75" s="13"/>
      <c r="I75" s="13"/>
    </row>
    <row r="76" spans="1:13" ht="12.75">
      <c r="A76">
        <v>1</v>
      </c>
      <c r="B76" t="s">
        <v>70</v>
      </c>
      <c r="C76" s="26">
        <f>+C6+C7+C8</f>
        <v>1145693.22</v>
      </c>
      <c r="D76" s="26">
        <f>+D6+D7+D8</f>
        <v>34370.8</v>
      </c>
      <c r="E76" s="26">
        <f>+E6+E7+E8</f>
        <v>1111322.42</v>
      </c>
      <c r="F76" s="34">
        <f>(F6+F7+F8)/M76</f>
        <v>0.09166666666666667</v>
      </c>
      <c r="G76">
        <f aca="true" t="shared" si="5" ref="G76:H79">+A76</f>
        <v>1</v>
      </c>
      <c r="H76" t="str">
        <f t="shared" si="5"/>
        <v> 2008-2009</v>
      </c>
      <c r="I76" s="26">
        <f>+I6+I7+I8</f>
        <v>1111322.42</v>
      </c>
      <c r="M76">
        <f>+M6+M7+M8</f>
        <v>3</v>
      </c>
    </row>
    <row r="77" spans="1:13" ht="12.75">
      <c r="A77">
        <v>2</v>
      </c>
      <c r="B77" t="str">
        <f>+B76</f>
        <v> 2008-2009</v>
      </c>
      <c r="C77" s="26">
        <f>+C9+C10+C11</f>
        <v>1715550.43</v>
      </c>
      <c r="D77" s="26">
        <f>+D9+D10+D11</f>
        <v>51466.509999999995</v>
      </c>
      <c r="E77" s="26">
        <f>+E9+E10+E11</f>
        <v>1664083.92</v>
      </c>
      <c r="F77" s="34">
        <f>(F9+F10+F11)/M77</f>
        <v>0.12823333333333334</v>
      </c>
      <c r="G77">
        <f t="shared" si="5"/>
        <v>2</v>
      </c>
      <c r="H77" t="str">
        <f t="shared" si="5"/>
        <v> 2008-2009</v>
      </c>
      <c r="I77" s="1">
        <f>+I9+I10+I11</f>
        <v>1664083.92</v>
      </c>
      <c r="M77">
        <f>+M9+M10+M11</f>
        <v>3</v>
      </c>
    </row>
    <row r="78" spans="1:13" ht="12.75">
      <c r="A78">
        <v>3</v>
      </c>
      <c r="B78" t="str">
        <f>+B76</f>
        <v> 2008-2009</v>
      </c>
      <c r="C78" s="26">
        <f>+C12+C13+C14</f>
        <v>1744194.8099999998</v>
      </c>
      <c r="D78" s="26">
        <f>+D12+D13+D14</f>
        <v>52325.840000000004</v>
      </c>
      <c r="E78" s="26">
        <f>+E12+E13+E14</f>
        <v>1691868.97</v>
      </c>
      <c r="F78" s="34">
        <f>(F12+F13+F14)/M78</f>
        <v>0.18446666666666667</v>
      </c>
      <c r="G78">
        <f t="shared" si="5"/>
        <v>3</v>
      </c>
      <c r="H78" t="str">
        <f t="shared" si="5"/>
        <v> 2008-2009</v>
      </c>
      <c r="I78" s="26">
        <f>+I12+I13+I14</f>
        <v>1691868.97</v>
      </c>
      <c r="M78">
        <f>+M12+M13+M14</f>
        <v>3</v>
      </c>
    </row>
    <row r="79" spans="1:13" ht="12.75">
      <c r="A79">
        <v>4</v>
      </c>
      <c r="B79" t="str">
        <f>+B76</f>
        <v> 2008-2009</v>
      </c>
      <c r="C79" s="56">
        <f>+C15+C16+C17</f>
        <v>1166746.71</v>
      </c>
      <c r="D79" s="56">
        <f>+D15+D16+D17</f>
        <v>35002.41</v>
      </c>
      <c r="E79" s="56">
        <f>+E15+E16+E17</f>
        <v>1131744.3</v>
      </c>
      <c r="F79" s="34"/>
      <c r="G79">
        <f t="shared" si="5"/>
        <v>4</v>
      </c>
      <c r="H79" t="str">
        <f t="shared" si="5"/>
        <v> 2008-2009</v>
      </c>
      <c r="I79" s="1">
        <f>+I11+I12+I13</f>
        <v>1870621.9100000001</v>
      </c>
      <c r="M79">
        <f>+M15+M16+M17</f>
        <v>3</v>
      </c>
    </row>
    <row r="80" spans="1:9" ht="12.75">
      <c r="A80" s="13" t="s">
        <v>63</v>
      </c>
      <c r="B80" s="13"/>
      <c r="C80" s="38">
        <f>SUM(C76:C79)</f>
        <v>5772185.17</v>
      </c>
      <c r="D80" s="38">
        <f>SUM(D76:D79)</f>
        <v>173165.56</v>
      </c>
      <c r="E80" s="38">
        <f>SUM(E76:E79)</f>
        <v>5599019.609999999</v>
      </c>
      <c r="F80" s="39">
        <f>+F18</f>
        <v>0.14391953290308335</v>
      </c>
      <c r="G80" s="13"/>
      <c r="H80" s="13"/>
      <c r="I80" s="38">
        <f>SUM(I76:I79)</f>
        <v>6337897.22</v>
      </c>
    </row>
    <row r="85" spans="1:7" ht="12.75">
      <c r="A85" s="14"/>
      <c r="B85" s="14"/>
      <c r="C85" s="14" t="s">
        <v>30</v>
      </c>
      <c r="D85" s="14"/>
      <c r="E85" s="14"/>
      <c r="F85" s="14"/>
      <c r="G85" s="14"/>
    </row>
    <row r="86" spans="1:7" ht="12.75">
      <c r="A86" s="14"/>
      <c r="B86" s="14"/>
      <c r="C86" s="14" t="s">
        <v>43</v>
      </c>
      <c r="D86" s="14"/>
      <c r="E86" s="14"/>
      <c r="F86" s="14"/>
      <c r="G86" s="14"/>
    </row>
    <row r="87" spans="1:7" ht="12.75">
      <c r="A87" s="14"/>
      <c r="B87" s="14"/>
      <c r="C87" s="14" t="s">
        <v>32</v>
      </c>
      <c r="D87" s="14">
        <f>+B6</f>
        <v>2010</v>
      </c>
      <c r="E87" s="14" t="s">
        <v>3</v>
      </c>
      <c r="F87" s="14">
        <f>+B6+1</f>
        <v>2011</v>
      </c>
      <c r="G87" s="14"/>
    </row>
    <row r="88" spans="1:7" ht="12.75">
      <c r="A88" s="14" t="s">
        <v>56</v>
      </c>
      <c r="B88" s="14" t="s">
        <v>14</v>
      </c>
      <c r="C88" s="14" t="s">
        <v>34</v>
      </c>
      <c r="D88" s="14" t="s">
        <v>35</v>
      </c>
      <c r="E88" s="14" t="s">
        <v>44</v>
      </c>
      <c r="F88" s="14" t="s">
        <v>36</v>
      </c>
      <c r="G88" s="14" t="s">
        <v>39</v>
      </c>
    </row>
    <row r="89" spans="2:7" ht="12.75">
      <c r="B89" t="s">
        <v>15</v>
      </c>
      <c r="C89" s="27"/>
      <c r="D89" s="27"/>
      <c r="E89" s="27"/>
      <c r="F89" s="27"/>
      <c r="G89" s="27"/>
    </row>
    <row r="90" spans="1:7" ht="12.75">
      <c r="A90">
        <v>1</v>
      </c>
      <c r="B90" t="s">
        <v>70</v>
      </c>
      <c r="C90" s="40">
        <f>+C27+C28+C29</f>
        <v>45341.96</v>
      </c>
      <c r="D90" s="40">
        <f>+D27+D28+D29</f>
        <v>1065980.46</v>
      </c>
      <c r="E90" s="40">
        <f>+E27+E28+E29</f>
        <v>24999.989999999998</v>
      </c>
      <c r="F90" s="40">
        <f>+F27+F28+F29</f>
        <v>1040980.4700000001</v>
      </c>
      <c r="G90" s="40">
        <f>+G27+G28+G29</f>
        <v>1111322.42</v>
      </c>
    </row>
    <row r="91" spans="1:7" ht="12.75">
      <c r="A91">
        <v>2</v>
      </c>
      <c r="B91" t="str">
        <f>+B90</f>
        <v> 2008-2009</v>
      </c>
      <c r="C91" s="40">
        <f>+C30+C31+C32</f>
        <v>67894.62</v>
      </c>
      <c r="D91" s="40">
        <f>+D30+D31+D32</f>
        <v>1596189.29</v>
      </c>
      <c r="E91" s="40">
        <f>+E30+E31+E32</f>
        <v>24999.989999999998</v>
      </c>
      <c r="F91" s="40">
        <f>+F30+F31+F32</f>
        <v>1571189.3</v>
      </c>
      <c r="G91" s="40">
        <f>+G30+G31+G32</f>
        <v>1664083.92</v>
      </c>
    </row>
    <row r="92" spans="1:7" ht="12.75">
      <c r="A92">
        <v>3</v>
      </c>
      <c r="B92" t="str">
        <f>+B90</f>
        <v> 2008-2009</v>
      </c>
      <c r="C92" s="40">
        <f>+C33+C34+C35</f>
        <v>69028.25</v>
      </c>
      <c r="D92" s="40">
        <f>+D33+D34+D35</f>
        <v>1622840.71</v>
      </c>
      <c r="E92" s="40">
        <f>+E33+E34+E35</f>
        <v>24999.989999999998</v>
      </c>
      <c r="F92" s="40">
        <f>+F33+F34+F35</f>
        <v>1597840.7199999997</v>
      </c>
      <c r="G92" s="40">
        <f>+G33+G34+G35</f>
        <v>1691868.97</v>
      </c>
    </row>
    <row r="93" spans="1:7" ht="12.75">
      <c r="A93">
        <v>4</v>
      </c>
      <c r="B93" t="str">
        <f>+B90</f>
        <v> 2008-2009</v>
      </c>
      <c r="C93" s="40">
        <f>+C36+C37+C38</f>
        <v>46175.170392</v>
      </c>
      <c r="D93" s="40">
        <f>+D36+D37+D38</f>
        <v>1085569.139608</v>
      </c>
      <c r="E93" s="40">
        <f>+E36+E37+E38</f>
        <v>25000.03</v>
      </c>
      <c r="F93" s="40">
        <f>+F36+F37+F38</f>
        <v>1060569.1096080001</v>
      </c>
      <c r="G93" s="40">
        <f>+G36+G37+G38</f>
        <v>1131744.3</v>
      </c>
    </row>
    <row r="94" spans="1:7" ht="12.75">
      <c r="A94" s="13" t="s">
        <v>63</v>
      </c>
      <c r="B94" s="13"/>
      <c r="C94" s="38">
        <f>SUM(C90:C93)</f>
        <v>228440.000392</v>
      </c>
      <c r="D94" s="38">
        <f>SUM(D90:D93)</f>
        <v>5370579.599608</v>
      </c>
      <c r="E94" s="38">
        <f>SUM(E90:E93)</f>
        <v>100000</v>
      </c>
      <c r="F94" s="38">
        <f>SUM(F90:F93)</f>
        <v>5270579.599608</v>
      </c>
      <c r="G94" s="38">
        <f>SUM(G90:G93)</f>
        <v>5599019.609999999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61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10.28125" style="0" customWidth="1"/>
    <col min="3" max="3" width="19.140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13.8515625" style="0" customWidth="1"/>
    <col min="17" max="17" width="13.42187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</cols>
  <sheetData>
    <row r="1" spans="1:20" ht="12.75">
      <c r="A1" s="14"/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/>
      <c r="R1">
        <f>+B7-1</f>
        <v>2009</v>
      </c>
      <c r="S1" t="s">
        <v>3</v>
      </c>
      <c r="T1">
        <f>+B7</f>
        <v>2010</v>
      </c>
    </row>
    <row r="2" spans="1:11" ht="12.75">
      <c r="A2" s="14"/>
      <c r="B2" s="14"/>
      <c r="C2" s="14" t="s">
        <v>45</v>
      </c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 t="s">
        <v>46</v>
      </c>
      <c r="D3" s="14"/>
      <c r="E3" s="14"/>
      <c r="F3" s="14"/>
      <c r="G3" s="14"/>
      <c r="H3" s="14"/>
      <c r="I3" s="14" t="s">
        <v>47</v>
      </c>
      <c r="J3" s="14" t="s">
        <v>48</v>
      </c>
      <c r="K3" s="14"/>
    </row>
    <row r="4" spans="1:11" ht="12.75">
      <c r="A4" s="14"/>
      <c r="B4" s="14"/>
      <c r="C4" s="14" t="s">
        <v>17</v>
      </c>
      <c r="D4" s="14"/>
      <c r="E4" s="14">
        <f>+B7</f>
        <v>2010</v>
      </c>
      <c r="F4" s="14" t="s">
        <v>3</v>
      </c>
      <c r="G4" s="14">
        <f>+B7+1</f>
        <v>2011</v>
      </c>
      <c r="H4" s="14"/>
      <c r="I4" s="14"/>
      <c r="J4" s="14"/>
      <c r="K4" s="14"/>
    </row>
    <row r="5" spans="1:11" ht="12.75">
      <c r="A5" s="14"/>
      <c r="B5" s="14"/>
      <c r="C5" s="14"/>
      <c r="D5" s="14"/>
      <c r="E5" s="14"/>
      <c r="F5" s="14" t="s">
        <v>49</v>
      </c>
      <c r="G5" s="14"/>
      <c r="H5" s="14"/>
      <c r="I5" s="14" t="s">
        <v>50</v>
      </c>
      <c r="J5" s="14" t="s">
        <v>23</v>
      </c>
      <c r="K5" s="14"/>
    </row>
    <row r="6" spans="1:11" ht="12.75">
      <c r="A6" s="14" t="s">
        <v>4</v>
      </c>
      <c r="B6" s="14" t="s">
        <v>14</v>
      </c>
      <c r="C6" s="14" t="s">
        <v>19</v>
      </c>
      <c r="D6" s="14" t="s">
        <v>6</v>
      </c>
      <c r="E6" s="14" t="s">
        <v>20</v>
      </c>
      <c r="F6" s="14" t="s">
        <v>8</v>
      </c>
      <c r="G6" s="14" t="s">
        <v>33</v>
      </c>
      <c r="H6" s="14"/>
      <c r="I6" s="14" t="s">
        <v>51</v>
      </c>
      <c r="J6" s="14" t="s">
        <v>52</v>
      </c>
      <c r="K6" s="14"/>
    </row>
    <row r="7" spans="1:26" ht="12.75">
      <c r="A7" s="45">
        <v>10</v>
      </c>
      <c r="B7" s="45">
        <v>2010</v>
      </c>
      <c r="C7" s="47">
        <v>1283766.89</v>
      </c>
      <c r="D7" s="47">
        <v>38513.01</v>
      </c>
      <c r="E7" s="47">
        <v>1245253.88</v>
      </c>
      <c r="F7" s="65" t="s">
        <v>75</v>
      </c>
      <c r="G7" s="45">
        <v>11</v>
      </c>
      <c r="H7" s="45">
        <v>2010</v>
      </c>
      <c r="I7" s="47">
        <v>1058465.8</v>
      </c>
      <c r="J7" s="47">
        <v>186788.08</v>
      </c>
      <c r="N7" s="53">
        <v>0.0557</v>
      </c>
      <c r="P7">
        <f>IF(I7&gt;0,1,0)</f>
        <v>1</v>
      </c>
      <c r="Q7" s="25">
        <f>DATE(B7,A7,1)</f>
        <v>40452</v>
      </c>
      <c r="R7" s="23">
        <f aca="true" t="shared" si="0" ref="R7:R18">IF(E7&gt;0,Q7,"")</f>
        <v>40452</v>
      </c>
      <c r="T7" s="24">
        <f>IF(P7=1,(F7+1),"")</f>
        <v>1.11</v>
      </c>
      <c r="U7" s="22">
        <f>IF(P7=1,C7/T7,"")</f>
        <v>1156546.7477477475</v>
      </c>
      <c r="V7" s="22"/>
      <c r="X7" s="22">
        <f>IF(P7=1,E7/T7,"")</f>
        <v>1121850.3423423423</v>
      </c>
      <c r="Y7" s="22">
        <f>IF(P7=1,X7*0.85,"")</f>
        <v>953572.7909909909</v>
      </c>
      <c r="Z7" s="22">
        <f>IF(P7=1,X7*0.15,"")</f>
        <v>168277.55135135134</v>
      </c>
    </row>
    <row r="8" spans="1:26" ht="12.75">
      <c r="A8" s="45">
        <v>11</v>
      </c>
      <c r="B8" s="45">
        <v>2010</v>
      </c>
      <c r="C8" s="47">
        <v>1293986.65</v>
      </c>
      <c r="D8" s="47">
        <v>38819.6</v>
      </c>
      <c r="E8" s="47">
        <v>1255167.05</v>
      </c>
      <c r="F8" s="65" t="s">
        <v>79</v>
      </c>
      <c r="G8" s="45">
        <v>12</v>
      </c>
      <c r="H8" s="45">
        <v>2010</v>
      </c>
      <c r="I8" s="47">
        <v>1066891.99</v>
      </c>
      <c r="J8" s="47">
        <v>188275.06</v>
      </c>
      <c r="P8">
        <f aca="true" t="shared" si="1" ref="P8:P18">IF(I8&gt;0,1,0)</f>
        <v>1</v>
      </c>
      <c r="Q8" s="25">
        <f aca="true" t="shared" si="2" ref="Q8:Q18">DATE(B8,A8,1)</f>
        <v>40483</v>
      </c>
      <c r="R8" s="23">
        <f t="shared" si="0"/>
        <v>40483</v>
      </c>
      <c r="T8" s="24">
        <f aca="true" t="shared" si="3" ref="T8:T18">IF(P8=1,(F8+1),"")</f>
        <v>1.055</v>
      </c>
      <c r="U8" s="22">
        <f aca="true" t="shared" si="4" ref="U8:U18">IF(P8=1,C8/T8,"")</f>
        <v>1226527.6303317535</v>
      </c>
      <c r="V8" s="22"/>
      <c r="X8" s="22">
        <f aca="true" t="shared" si="5" ref="X8:X18">IF(P8=1,E8/T8,"")</f>
        <v>1189731.8009478673</v>
      </c>
      <c r="Y8" s="22">
        <f aca="true" t="shared" si="6" ref="Y8:Y18">IF(P8=1,X8*0.85,"")</f>
        <v>1011272.0308056872</v>
      </c>
      <c r="Z8" s="22">
        <f aca="true" t="shared" si="7" ref="Z8:Z18">IF(P8=1,X8*0.15,"")</f>
        <v>178459.7701421801</v>
      </c>
    </row>
    <row r="9" spans="1:26" ht="12.75">
      <c r="A9" s="45">
        <v>12</v>
      </c>
      <c r="B9" s="45">
        <v>2010</v>
      </c>
      <c r="C9" s="47">
        <v>1403781.25</v>
      </c>
      <c r="D9" s="47">
        <v>42113.44</v>
      </c>
      <c r="E9" s="47">
        <v>1361667.81</v>
      </c>
      <c r="F9" s="65" t="s">
        <v>83</v>
      </c>
      <c r="G9" s="45">
        <v>1</v>
      </c>
      <c r="H9" s="45">
        <v>2011</v>
      </c>
      <c r="I9" s="47">
        <v>1157417.64</v>
      </c>
      <c r="J9" s="47">
        <v>204250.17</v>
      </c>
      <c r="P9">
        <f t="shared" si="1"/>
        <v>1</v>
      </c>
      <c r="Q9" s="25">
        <f t="shared" si="2"/>
        <v>40513</v>
      </c>
      <c r="R9" s="23">
        <f t="shared" si="0"/>
        <v>40513</v>
      </c>
      <c r="T9" s="24">
        <f t="shared" si="3"/>
        <v>1.2011</v>
      </c>
      <c r="U9" s="22">
        <f t="shared" si="4"/>
        <v>1168746.3575056198</v>
      </c>
      <c r="V9" s="22"/>
      <c r="X9" s="22">
        <f t="shared" si="5"/>
        <v>1133683.964699026</v>
      </c>
      <c r="Y9" s="22">
        <f t="shared" si="6"/>
        <v>963631.369994172</v>
      </c>
      <c r="Z9" s="22">
        <f t="shared" si="7"/>
        <v>170052.5947048539</v>
      </c>
    </row>
    <row r="10" spans="1:26" ht="12.75">
      <c r="A10" s="45">
        <v>1</v>
      </c>
      <c r="B10" s="45">
        <v>2011</v>
      </c>
      <c r="C10" s="47">
        <v>1520867.85</v>
      </c>
      <c r="D10" s="47">
        <v>45626.04</v>
      </c>
      <c r="E10" s="47">
        <v>1475241.81</v>
      </c>
      <c r="F10" s="65" t="s">
        <v>90</v>
      </c>
      <c r="G10" s="45">
        <v>2</v>
      </c>
      <c r="H10" s="45">
        <v>2011</v>
      </c>
      <c r="I10" s="47">
        <v>1253955.54</v>
      </c>
      <c r="J10" s="47">
        <v>221286.27</v>
      </c>
      <c r="P10">
        <f t="shared" si="1"/>
        <v>1</v>
      </c>
      <c r="Q10" s="25">
        <f t="shared" si="2"/>
        <v>40544</v>
      </c>
      <c r="R10" s="23">
        <f t="shared" si="0"/>
        <v>40544</v>
      </c>
      <c r="T10" s="24">
        <f t="shared" si="3"/>
        <v>1.0939</v>
      </c>
      <c r="U10" s="22">
        <f t="shared" si="4"/>
        <v>1390317.0765152208</v>
      </c>
      <c r="V10" s="22"/>
      <c r="X10" s="22">
        <f t="shared" si="5"/>
        <v>1348607.5601060425</v>
      </c>
      <c r="Y10" s="22">
        <f t="shared" si="6"/>
        <v>1146316.4260901362</v>
      </c>
      <c r="Z10" s="22">
        <f t="shared" si="7"/>
        <v>202291.13401590637</v>
      </c>
    </row>
    <row r="11" spans="1:26" ht="12.75">
      <c r="A11" s="45">
        <v>2</v>
      </c>
      <c r="B11" s="45">
        <v>2011</v>
      </c>
      <c r="C11" s="47">
        <v>1392119.64</v>
      </c>
      <c r="D11" s="47">
        <v>41763.59</v>
      </c>
      <c r="E11" s="47">
        <v>1350356.05</v>
      </c>
      <c r="F11" s="65" t="s">
        <v>97</v>
      </c>
      <c r="G11" s="45">
        <v>3</v>
      </c>
      <c r="H11" s="45">
        <v>2011</v>
      </c>
      <c r="I11" s="47">
        <v>1147802.64</v>
      </c>
      <c r="J11" s="47">
        <v>202553.41</v>
      </c>
      <c r="P11">
        <f t="shared" si="1"/>
        <v>1</v>
      </c>
      <c r="Q11" s="25">
        <f t="shared" si="2"/>
        <v>40575</v>
      </c>
      <c r="R11" s="23">
        <f t="shared" si="0"/>
        <v>40575</v>
      </c>
      <c r="T11" s="24">
        <f t="shared" si="3"/>
        <v>1.0346</v>
      </c>
      <c r="U11" s="22">
        <f t="shared" si="4"/>
        <v>1345563.1548424512</v>
      </c>
      <c r="V11" s="22"/>
      <c r="X11" s="22">
        <f t="shared" si="5"/>
        <v>1305196.259423932</v>
      </c>
      <c r="Y11" s="22">
        <f t="shared" si="6"/>
        <v>1109416.8205103423</v>
      </c>
      <c r="Z11" s="22">
        <f t="shared" si="7"/>
        <v>195779.4389135898</v>
      </c>
    </row>
    <row r="12" spans="1:26" ht="12.75">
      <c r="A12" s="45">
        <v>3</v>
      </c>
      <c r="B12" s="45">
        <v>2011</v>
      </c>
      <c r="C12" s="47">
        <v>1572911.93</v>
      </c>
      <c r="D12" s="47">
        <v>47187.36</v>
      </c>
      <c r="E12" s="47">
        <v>1525724.57</v>
      </c>
      <c r="F12" s="65" t="s">
        <v>108</v>
      </c>
      <c r="G12" s="45">
        <v>4</v>
      </c>
      <c r="H12" s="45">
        <v>2011</v>
      </c>
      <c r="I12" s="47">
        <v>1296865.89</v>
      </c>
      <c r="J12" s="47">
        <v>228858.69</v>
      </c>
      <c r="P12">
        <f t="shared" si="1"/>
        <v>1</v>
      </c>
      <c r="Q12" s="25">
        <f t="shared" si="2"/>
        <v>40603</v>
      </c>
      <c r="R12" s="23">
        <f t="shared" si="0"/>
        <v>40603</v>
      </c>
      <c r="T12" s="24">
        <f t="shared" si="3"/>
        <v>1.1919</v>
      </c>
      <c r="U12" s="22">
        <f t="shared" si="4"/>
        <v>1319667.6986324356</v>
      </c>
      <c r="V12" s="22"/>
      <c r="X12" s="22">
        <f t="shared" si="5"/>
        <v>1280077.66591157</v>
      </c>
      <c r="Y12" s="22">
        <f t="shared" si="6"/>
        <v>1088066.0160248345</v>
      </c>
      <c r="Z12" s="22">
        <f t="shared" si="7"/>
        <v>192011.64988673548</v>
      </c>
    </row>
    <row r="13" spans="1:26" ht="12.75">
      <c r="A13" s="45">
        <v>4</v>
      </c>
      <c r="B13" s="45">
        <v>2011</v>
      </c>
      <c r="C13" s="47">
        <v>1606058.26</v>
      </c>
      <c r="D13" s="47">
        <v>48181.75</v>
      </c>
      <c r="E13" s="47">
        <v>1557876.51</v>
      </c>
      <c r="F13" s="65" t="s">
        <v>112</v>
      </c>
      <c r="G13" s="45">
        <v>5</v>
      </c>
      <c r="H13" s="45">
        <v>2011</v>
      </c>
      <c r="I13" s="47">
        <v>1324195.04</v>
      </c>
      <c r="J13" s="47">
        <v>233681.48</v>
      </c>
      <c r="P13">
        <f t="shared" si="1"/>
        <v>1</v>
      </c>
      <c r="Q13" s="25">
        <f t="shared" si="2"/>
        <v>40634</v>
      </c>
      <c r="R13" s="23">
        <f t="shared" si="0"/>
        <v>40634</v>
      </c>
      <c r="T13" s="24">
        <f t="shared" si="3"/>
        <v>1.061</v>
      </c>
      <c r="U13" s="22">
        <f t="shared" si="4"/>
        <v>1513721.2629594724</v>
      </c>
      <c r="V13" s="22">
        <f aca="true" t="shared" si="8" ref="V13:V18">IF(P13=1,U13*0.85,"")</f>
        <v>1286663.0735155514</v>
      </c>
      <c r="X13" s="22">
        <f t="shared" si="5"/>
        <v>1468309.6229971726</v>
      </c>
      <c r="Y13" s="22">
        <f t="shared" si="6"/>
        <v>1248063.1795475967</v>
      </c>
      <c r="Z13" s="22">
        <f t="shared" si="7"/>
        <v>220246.4434495759</v>
      </c>
    </row>
    <row r="14" spans="1:26" ht="12.75">
      <c r="A14" s="45">
        <v>5</v>
      </c>
      <c r="B14" s="45">
        <v>2011</v>
      </c>
      <c r="C14" s="47">
        <v>1564026.26</v>
      </c>
      <c r="D14" s="47">
        <v>46920.79</v>
      </c>
      <c r="E14" s="47">
        <v>1517105.47</v>
      </c>
      <c r="F14" s="65" t="s">
        <v>117</v>
      </c>
      <c r="G14" s="45">
        <v>6</v>
      </c>
      <c r="H14" s="45">
        <v>2011</v>
      </c>
      <c r="I14" s="47">
        <v>1289539.65</v>
      </c>
      <c r="J14" s="47">
        <v>227565.82</v>
      </c>
      <c r="P14">
        <f t="shared" si="1"/>
        <v>1</v>
      </c>
      <c r="Q14" s="25">
        <f t="shared" si="2"/>
        <v>40664</v>
      </c>
      <c r="R14" s="23">
        <f t="shared" si="0"/>
        <v>40664</v>
      </c>
      <c r="T14" s="24">
        <f t="shared" si="3"/>
        <v>1.2132</v>
      </c>
      <c r="U14" s="22">
        <f t="shared" si="4"/>
        <v>1289174.2993735576</v>
      </c>
      <c r="V14" s="22">
        <f t="shared" si="8"/>
        <v>1095798.1544675238</v>
      </c>
      <c r="X14" s="22">
        <f t="shared" si="5"/>
        <v>1250499.0685789646</v>
      </c>
      <c r="Y14" s="22">
        <f t="shared" si="6"/>
        <v>1062924.20829212</v>
      </c>
      <c r="Z14" s="22">
        <f t="shared" si="7"/>
        <v>187574.8602868447</v>
      </c>
    </row>
    <row r="15" spans="1:26" ht="12.75">
      <c r="A15" s="45">
        <v>6</v>
      </c>
      <c r="B15" s="45">
        <v>2011</v>
      </c>
      <c r="C15" s="47">
        <v>1610671.89</v>
      </c>
      <c r="D15" s="47">
        <v>48320.16</v>
      </c>
      <c r="E15" s="47">
        <v>1562351.73</v>
      </c>
      <c r="F15" s="65" t="s">
        <v>121</v>
      </c>
      <c r="G15" s="45">
        <v>7</v>
      </c>
      <c r="H15" s="45">
        <v>2011</v>
      </c>
      <c r="I15" s="47">
        <v>1327998.97</v>
      </c>
      <c r="J15" s="47">
        <v>234352.76</v>
      </c>
      <c r="P15">
        <f t="shared" si="1"/>
        <v>1</v>
      </c>
      <c r="Q15" s="25">
        <f t="shared" si="2"/>
        <v>40695</v>
      </c>
      <c r="R15" s="23">
        <f t="shared" si="0"/>
        <v>40695</v>
      </c>
      <c r="T15" s="24">
        <f t="shared" si="3"/>
        <v>1.1616</v>
      </c>
      <c r="U15" s="22">
        <f t="shared" si="4"/>
        <v>1386597.701446281</v>
      </c>
      <c r="V15" s="22">
        <f t="shared" si="8"/>
        <v>1178608.046229339</v>
      </c>
      <c r="X15" s="22">
        <f t="shared" si="5"/>
        <v>1344999.7675619835</v>
      </c>
      <c r="Y15" s="22">
        <f t="shared" si="6"/>
        <v>1143249.802427686</v>
      </c>
      <c r="Z15" s="22">
        <f t="shared" si="7"/>
        <v>201749.96513429753</v>
      </c>
    </row>
    <row r="16" spans="1:26" ht="12.75">
      <c r="A16" s="45">
        <v>7</v>
      </c>
      <c r="B16" s="45">
        <v>2011</v>
      </c>
      <c r="C16" s="47">
        <v>1459977.48</v>
      </c>
      <c r="D16" s="47">
        <v>43799.32</v>
      </c>
      <c r="E16" s="47">
        <v>1416178.16</v>
      </c>
      <c r="F16" s="65" t="s">
        <v>125</v>
      </c>
      <c r="G16" s="45">
        <v>8</v>
      </c>
      <c r="H16" s="45">
        <v>2011</v>
      </c>
      <c r="I16" s="47">
        <v>1203751.43</v>
      </c>
      <c r="J16" s="47">
        <v>212426.72</v>
      </c>
      <c r="P16">
        <f t="shared" si="1"/>
        <v>1</v>
      </c>
      <c r="Q16" s="25">
        <f t="shared" si="2"/>
        <v>40725</v>
      </c>
      <c r="R16" s="23">
        <f t="shared" si="0"/>
        <v>40725</v>
      </c>
      <c r="T16" s="24">
        <f t="shared" si="3"/>
        <v>1.1072</v>
      </c>
      <c r="U16" s="22">
        <f t="shared" si="4"/>
        <v>1318621.2789017342</v>
      </c>
      <c r="V16" s="22">
        <f t="shared" si="8"/>
        <v>1120828.087066474</v>
      </c>
      <c r="X16" s="22">
        <f t="shared" si="5"/>
        <v>1279062.6445086705</v>
      </c>
      <c r="Y16" s="22">
        <f t="shared" si="6"/>
        <v>1087203.24783237</v>
      </c>
      <c r="Z16" s="22">
        <f t="shared" si="7"/>
        <v>191859.3966763006</v>
      </c>
    </row>
    <row r="17" spans="1:26" ht="12.75">
      <c r="A17" s="45">
        <v>8</v>
      </c>
      <c r="B17" s="45">
        <v>2011</v>
      </c>
      <c r="C17" s="47">
        <v>1566474.26</v>
      </c>
      <c r="D17" s="47">
        <v>46994.23</v>
      </c>
      <c r="E17" s="47">
        <v>1519480.03</v>
      </c>
      <c r="F17" s="65" t="s">
        <v>129</v>
      </c>
      <c r="G17" s="45">
        <v>9</v>
      </c>
      <c r="H17" s="45">
        <v>2011</v>
      </c>
      <c r="I17" s="47">
        <v>1291558.03</v>
      </c>
      <c r="J17" s="47">
        <v>227922</v>
      </c>
      <c r="P17">
        <f t="shared" si="1"/>
        <v>1</v>
      </c>
      <c r="Q17" s="25">
        <f t="shared" si="2"/>
        <v>40756</v>
      </c>
      <c r="R17" s="23">
        <f t="shared" si="0"/>
        <v>40756</v>
      </c>
      <c r="T17" s="24">
        <f t="shared" si="3"/>
        <v>1.1012</v>
      </c>
      <c r="U17" s="22">
        <f t="shared" si="4"/>
        <v>1422515.6738103887</v>
      </c>
      <c r="V17" s="22">
        <f t="shared" si="8"/>
        <v>1209138.3227388302</v>
      </c>
      <c r="X17" s="22">
        <f t="shared" si="5"/>
        <v>1379840.2015982566</v>
      </c>
      <c r="Y17" s="22">
        <f t="shared" si="6"/>
        <v>1172864.171358518</v>
      </c>
      <c r="Z17" s="22">
        <f t="shared" si="7"/>
        <v>206976.0302397385</v>
      </c>
    </row>
    <row r="18" spans="1:26" ht="12.75">
      <c r="A18" s="45">
        <v>9</v>
      </c>
      <c r="B18" s="45">
        <v>2011</v>
      </c>
      <c r="C18" s="47">
        <v>1411837.43</v>
      </c>
      <c r="D18" s="47">
        <v>42355.12</v>
      </c>
      <c r="E18" s="47">
        <v>1369482.31</v>
      </c>
      <c r="F18" s="65" t="s">
        <v>134</v>
      </c>
      <c r="G18" s="45">
        <v>10</v>
      </c>
      <c r="H18" s="45">
        <v>2011</v>
      </c>
      <c r="I18" s="47">
        <v>1164059.96</v>
      </c>
      <c r="J18" s="47">
        <v>205422.35</v>
      </c>
      <c r="P18">
        <f t="shared" si="1"/>
        <v>1</v>
      </c>
      <c r="Q18" s="25">
        <f t="shared" si="2"/>
        <v>40787</v>
      </c>
      <c r="R18" s="23">
        <f t="shared" si="0"/>
        <v>40787</v>
      </c>
      <c r="T18" s="24">
        <f t="shared" si="3"/>
        <v>1.1296</v>
      </c>
      <c r="U18" s="22">
        <f t="shared" si="4"/>
        <v>1249856.0817988669</v>
      </c>
      <c r="V18" s="22">
        <f t="shared" si="8"/>
        <v>1062377.6695290369</v>
      </c>
      <c r="X18" s="22">
        <f t="shared" si="5"/>
        <v>1212360.4019121814</v>
      </c>
      <c r="Y18" s="22">
        <f t="shared" si="6"/>
        <v>1030506.3416253541</v>
      </c>
      <c r="Z18" s="22">
        <f t="shared" si="7"/>
        <v>181854.0602868272</v>
      </c>
    </row>
    <row r="19" spans="1:24" ht="12.75">
      <c r="A19" s="14"/>
      <c r="B19" s="14"/>
      <c r="C19" s="15">
        <f>SUM(C7:C18)</f>
        <v>17686479.790000003</v>
      </c>
      <c r="D19" s="15">
        <f>SUM(D7:D18)</f>
        <v>530594.41</v>
      </c>
      <c r="E19" s="15">
        <f>SUM(E7:E18)</f>
        <v>17155885.38</v>
      </c>
      <c r="F19" s="20">
        <f>(C19/U19)-1</f>
        <v>0.12025856777123645</v>
      </c>
      <c r="G19" s="14"/>
      <c r="H19" s="14"/>
      <c r="I19" s="15">
        <f>SUM(I7:I18)</f>
        <v>14582502.579999998</v>
      </c>
      <c r="J19" s="15">
        <f>SUM(J7:J18)</f>
        <v>2573382.8100000005</v>
      </c>
      <c r="K19" s="14"/>
      <c r="P19">
        <f>SUM(P7:P18)</f>
        <v>12</v>
      </c>
      <c r="R19" s="2">
        <f>(F7+F8+F9+F10+F11+F12+F13+F14+F15+F16+F17+F18)/P19</f>
        <v>0.12169166666666666</v>
      </c>
      <c r="U19" s="22">
        <f>SUM(U7:U18)</f>
        <v>15787854.96386553</v>
      </c>
      <c r="X19" s="22">
        <f>IF(P19=1,F19/W19,"")</f>
      </c>
    </row>
    <row r="51" spans="1:11" ht="12.75">
      <c r="A51" s="14"/>
      <c r="B51" s="14"/>
      <c r="C51" s="14" t="s">
        <v>0</v>
      </c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4"/>
      <c r="B52" s="14"/>
      <c r="C52" s="14" t="s">
        <v>45</v>
      </c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14" t="s">
        <v>46</v>
      </c>
      <c r="D53" s="14"/>
      <c r="E53" s="14"/>
      <c r="F53" s="14"/>
      <c r="G53" s="14"/>
      <c r="H53" s="14"/>
      <c r="I53" s="14" t="s">
        <v>47</v>
      </c>
      <c r="J53" s="14" t="s">
        <v>48</v>
      </c>
      <c r="K53" s="14"/>
    </row>
    <row r="54" spans="1:11" ht="12.75">
      <c r="A54" s="14"/>
      <c r="B54" s="14"/>
      <c r="C54" s="14" t="s">
        <v>17</v>
      </c>
      <c r="D54" s="14"/>
      <c r="E54" s="14">
        <f>+E4</f>
        <v>2010</v>
      </c>
      <c r="F54" s="14" t="s">
        <v>3</v>
      </c>
      <c r="G54" s="14">
        <f>+E4+1</f>
        <v>2011</v>
      </c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 t="s">
        <v>49</v>
      </c>
      <c r="G55" s="14"/>
      <c r="H55" s="14"/>
      <c r="I55" s="14" t="s">
        <v>50</v>
      </c>
      <c r="J55" s="14" t="s">
        <v>23</v>
      </c>
      <c r="K55" s="14"/>
    </row>
    <row r="56" spans="1:11" ht="12.75">
      <c r="A56" s="14" t="s">
        <v>56</v>
      </c>
      <c r="B56" s="14" t="s">
        <v>15</v>
      </c>
      <c r="C56" s="14" t="s">
        <v>19</v>
      </c>
      <c r="D56" s="14" t="s">
        <v>6</v>
      </c>
      <c r="E56" s="14" t="s">
        <v>20</v>
      </c>
      <c r="F56" s="14" t="s">
        <v>8</v>
      </c>
      <c r="G56" s="14" t="s">
        <v>61</v>
      </c>
      <c r="H56" s="14" t="s">
        <v>15</v>
      </c>
      <c r="I56" s="14" t="s">
        <v>51</v>
      </c>
      <c r="J56" s="14" t="s">
        <v>52</v>
      </c>
      <c r="K56" s="14"/>
    </row>
    <row r="57" spans="1:16" ht="12.75">
      <c r="A57">
        <v>1</v>
      </c>
      <c r="B57" t="s">
        <v>69</v>
      </c>
      <c r="C57" s="26">
        <f>+C7+C8+C9</f>
        <v>3981534.79</v>
      </c>
      <c r="D57" s="26">
        <f>+D7+D8+D9</f>
        <v>119446.05</v>
      </c>
      <c r="E57" s="26">
        <f>+E7+E8+E9</f>
        <v>3862088.7399999998</v>
      </c>
      <c r="F57" s="34">
        <f>(F7+F8+F9)/P57</f>
        <v>0.12203333333333333</v>
      </c>
      <c r="G57">
        <f aca="true" t="shared" si="9" ref="G57:H60">+A57</f>
        <v>1</v>
      </c>
      <c r="H57" s="41" t="str">
        <f t="shared" si="9"/>
        <v>2008-2009</v>
      </c>
      <c r="I57" s="26">
        <f>+I7+I8+I9</f>
        <v>3282775.4299999997</v>
      </c>
      <c r="J57" s="26">
        <f>+J7+J8+J9</f>
        <v>579313.31</v>
      </c>
      <c r="P57" s="43">
        <f>+P7+P8+P9</f>
        <v>3</v>
      </c>
    </row>
    <row r="58" spans="1:16" ht="12.75">
      <c r="A58">
        <v>2</v>
      </c>
      <c r="B58" t="str">
        <f>+B57</f>
        <v>2008-2009</v>
      </c>
      <c r="C58" s="26">
        <f>+C10+C11+C12</f>
        <v>4485899.42</v>
      </c>
      <c r="D58" s="26">
        <f>+D10+D11+D12</f>
        <v>134576.99</v>
      </c>
      <c r="E58" s="26">
        <f>+E10+E11+E12</f>
        <v>4351322.430000001</v>
      </c>
      <c r="F58" s="34">
        <f>(F10+F11+F12)/P58</f>
        <v>0.1068</v>
      </c>
      <c r="G58">
        <f t="shared" si="9"/>
        <v>2</v>
      </c>
      <c r="H58" s="41" t="str">
        <f t="shared" si="9"/>
        <v>2008-2009</v>
      </c>
      <c r="I58" s="26">
        <f>+I10+I11+I12</f>
        <v>3698624.0699999994</v>
      </c>
      <c r="J58" s="26">
        <f>+J10+J11+J12</f>
        <v>652698.37</v>
      </c>
      <c r="P58" s="43">
        <f>+P10+P11+P12</f>
        <v>3</v>
      </c>
    </row>
    <row r="59" spans="1:16" ht="12.75">
      <c r="A59">
        <v>3</v>
      </c>
      <c r="B59" t="str">
        <f>+B57</f>
        <v>2008-2009</v>
      </c>
      <c r="C59" s="26">
        <f>+C13+C14+C15</f>
        <v>4780756.41</v>
      </c>
      <c r="D59" s="26">
        <f>+D13+D14+D15</f>
        <v>143422.7</v>
      </c>
      <c r="E59" s="26">
        <f>+E13+E14+E15</f>
        <v>4637333.71</v>
      </c>
      <c r="F59" s="34">
        <f>(F13+F14+F15)/P59</f>
        <v>0.14526666666666666</v>
      </c>
      <c r="G59">
        <f t="shared" si="9"/>
        <v>3</v>
      </c>
      <c r="H59" s="41" t="str">
        <f t="shared" si="9"/>
        <v>2008-2009</v>
      </c>
      <c r="I59" s="26">
        <f>+I13+I14+I15</f>
        <v>3941733.66</v>
      </c>
      <c r="J59" s="26">
        <f>+J13+J14+J15</f>
        <v>695600.06</v>
      </c>
      <c r="P59" s="43">
        <f>+P13+P14+P15</f>
        <v>3</v>
      </c>
    </row>
    <row r="60" spans="1:16" ht="12.75">
      <c r="A60">
        <v>4</v>
      </c>
      <c r="B60" t="str">
        <f>+B57</f>
        <v>2008-2009</v>
      </c>
      <c r="C60" s="26">
        <f>+C16+C17+C18</f>
        <v>4438289.17</v>
      </c>
      <c r="D60" s="26">
        <f>+D16+D17+D18</f>
        <v>133148.67</v>
      </c>
      <c r="E60" s="26">
        <f>+E16+E17+E18</f>
        <v>4305140.5</v>
      </c>
      <c r="F60" s="34">
        <f>(F16+F17+F18)/P60</f>
        <v>0.11266666666666665</v>
      </c>
      <c r="G60">
        <f t="shared" si="9"/>
        <v>4</v>
      </c>
      <c r="H60" s="41" t="str">
        <f t="shared" si="9"/>
        <v>2008-2009</v>
      </c>
      <c r="I60" s="26">
        <f>+I16+I17+I18</f>
        <v>3659369.42</v>
      </c>
      <c r="J60" s="26">
        <f>+J16+J17+J18</f>
        <v>645771.07</v>
      </c>
      <c r="P60" s="43">
        <f>+P16+P17+P18</f>
        <v>3</v>
      </c>
    </row>
    <row r="61" spans="1:10" ht="12.75">
      <c r="A61" s="14" t="s">
        <v>54</v>
      </c>
      <c r="B61" s="14"/>
      <c r="C61" s="42">
        <f>SUM(C57:C60)</f>
        <v>17686479.79</v>
      </c>
      <c r="D61" s="42">
        <f>SUM(D57:D60)</f>
        <v>530594.41</v>
      </c>
      <c r="E61" s="42">
        <f>SUM(E57:E60)</f>
        <v>17155885.38</v>
      </c>
      <c r="F61" s="20">
        <f>+F19</f>
        <v>0.12025856777123645</v>
      </c>
      <c r="G61" s="14"/>
      <c r="H61" s="14"/>
      <c r="I61" s="42">
        <f>SUM(I57:I60)</f>
        <v>14582502.58</v>
      </c>
      <c r="J61" s="42">
        <f>SUM(J57:J60)</f>
        <v>2573382.81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39.28125" style="0" customWidth="1"/>
    <col min="4" max="4" width="33.140625" style="0" customWidth="1"/>
    <col min="5" max="5" width="11.140625" style="0" bestFit="1" customWidth="1"/>
    <col min="9" max="9" width="11.140625" style="0" bestFit="1" customWidth="1"/>
    <col min="10" max="10" width="13.7109375" style="0" customWidth="1"/>
    <col min="11" max="11" width="11.140625" style="0" bestFit="1" customWidth="1"/>
  </cols>
  <sheetData>
    <row r="1" spans="1:3" ht="12.75">
      <c r="A1" s="14"/>
      <c r="B1" s="14"/>
      <c r="C1" s="14" t="s">
        <v>84</v>
      </c>
    </row>
    <row r="2" spans="1:3" ht="12.75">
      <c r="A2" s="14"/>
      <c r="B2" s="14"/>
      <c r="C2" s="14" t="s">
        <v>85</v>
      </c>
    </row>
    <row r="3" spans="1:3" ht="12.75">
      <c r="A3" s="14"/>
      <c r="B3" s="14"/>
      <c r="C3" s="14"/>
    </row>
    <row r="4" spans="1:3" ht="12.75">
      <c r="A4" s="14"/>
      <c r="B4" s="14"/>
      <c r="C4" s="14" t="s">
        <v>86</v>
      </c>
    </row>
    <row r="5" spans="1:3" ht="12.75">
      <c r="A5" s="14"/>
      <c r="B5" s="14"/>
      <c r="C5" s="14" t="str">
        <f>+B7&amp;"-"&amp;B7+1</f>
        <v>2010-2011</v>
      </c>
    </row>
    <row r="6" spans="1:3" ht="12.75">
      <c r="A6" s="14" t="s">
        <v>4</v>
      </c>
      <c r="B6" s="14" t="s">
        <v>14</v>
      </c>
      <c r="C6" s="14" t="s">
        <v>19</v>
      </c>
    </row>
    <row r="7" spans="1:3" ht="12.75">
      <c r="A7" s="45">
        <v>10</v>
      </c>
      <c r="B7" s="45">
        <v>2010</v>
      </c>
      <c r="C7" s="47">
        <f>78952.2+73464.86</f>
        <v>152417.06</v>
      </c>
    </row>
    <row r="8" spans="1:3" ht="12.75">
      <c r="A8" s="45">
        <v>11</v>
      </c>
      <c r="B8" s="45">
        <v>2010</v>
      </c>
      <c r="C8" s="47">
        <f>87261.34+76736.04</f>
        <v>163997.38</v>
      </c>
    </row>
    <row r="9" spans="1:3" ht="12.75">
      <c r="A9" s="45">
        <v>12</v>
      </c>
      <c r="B9" s="45">
        <v>2010</v>
      </c>
      <c r="C9" s="47">
        <f>73919.73+84094.34</f>
        <v>158014.07</v>
      </c>
    </row>
    <row r="10" spans="1:3" ht="12.75">
      <c r="A10" s="45">
        <v>1</v>
      </c>
      <c r="B10" s="45">
        <v>2011</v>
      </c>
      <c r="C10" s="47">
        <v>162441.81</v>
      </c>
    </row>
    <row r="11" spans="1:11" ht="12.75">
      <c r="A11" s="45">
        <v>2</v>
      </c>
      <c r="B11" s="45">
        <v>2011</v>
      </c>
      <c r="C11" s="47">
        <v>89583.8</v>
      </c>
      <c r="D11" t="s">
        <v>98</v>
      </c>
      <c r="E11" s="26">
        <v>84368.72</v>
      </c>
      <c r="F11" t="s">
        <v>99</v>
      </c>
      <c r="I11" s="26">
        <v>149786</v>
      </c>
      <c r="K11" s="26">
        <f>SUM(E11:E12)</f>
        <v>149786</v>
      </c>
    </row>
    <row r="12" spans="1:12" ht="12.75">
      <c r="A12" s="45">
        <v>3</v>
      </c>
      <c r="B12" s="45">
        <v>2011</v>
      </c>
      <c r="C12" s="47">
        <v>93621.43</v>
      </c>
      <c r="D12" t="s">
        <v>103</v>
      </c>
      <c r="E12" s="26">
        <f>+I11-E11</f>
        <v>65417.28</v>
      </c>
      <c r="F12" t="s">
        <v>100</v>
      </c>
      <c r="I12" s="26">
        <v>99422.04</v>
      </c>
      <c r="J12" t="s">
        <v>101</v>
      </c>
      <c r="K12" s="26">
        <f>+I12-E12</f>
        <v>34004.759999999995</v>
      </c>
      <c r="L12" t="s">
        <v>113</v>
      </c>
    </row>
    <row r="13" spans="1:4" ht="12.75">
      <c r="A13" s="45">
        <v>4</v>
      </c>
      <c r="B13" s="45">
        <v>2011</v>
      </c>
      <c r="C13" s="47">
        <v>209348.3</v>
      </c>
      <c r="D13" t="s">
        <v>102</v>
      </c>
    </row>
    <row r="14" spans="1:5" ht="12.75">
      <c r="A14" s="45">
        <v>5</v>
      </c>
      <c r="B14" s="45">
        <v>2011</v>
      </c>
      <c r="C14" s="26">
        <f>102068.95+103686.01+34004.76</f>
        <v>239759.72</v>
      </c>
      <c r="E14" s="26"/>
    </row>
    <row r="15" spans="1:3" ht="12.75">
      <c r="A15" s="45">
        <v>6</v>
      </c>
      <c r="B15" s="45">
        <v>2011</v>
      </c>
      <c r="C15" s="47">
        <f>106509.5+101534.4</f>
        <v>208043.9</v>
      </c>
    </row>
    <row r="16" spans="1:3" ht="12.75">
      <c r="A16" s="45">
        <v>7</v>
      </c>
      <c r="B16" s="45">
        <v>2011</v>
      </c>
      <c r="C16" s="47">
        <f>96156.33+97491.6</f>
        <v>193647.93</v>
      </c>
    </row>
    <row r="17" spans="1:3" ht="12.75">
      <c r="A17" s="45">
        <v>8</v>
      </c>
      <c r="B17" s="45">
        <v>2011</v>
      </c>
      <c r="C17" s="47">
        <v>104995.4</v>
      </c>
    </row>
    <row r="18" spans="1:4" ht="12.75">
      <c r="A18" s="45">
        <v>9</v>
      </c>
      <c r="B18" s="45">
        <v>2011</v>
      </c>
      <c r="C18" s="47">
        <f>86741.16+99600.4+92647.5</f>
        <v>278989.06</v>
      </c>
      <c r="D18" t="s">
        <v>130</v>
      </c>
    </row>
    <row r="19" spans="1:3" ht="12.75">
      <c r="A19" s="14"/>
      <c r="B19" s="14"/>
      <c r="C19" s="15">
        <f>SUM(C7:C18)</f>
        <v>2054859.8599999999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cp:lastPrinted>2011-02-15T23:05:29Z</cp:lastPrinted>
  <dcterms:created xsi:type="dcterms:W3CDTF">1996-10-14T23:33:28Z</dcterms:created>
  <dcterms:modified xsi:type="dcterms:W3CDTF">2014-10-06T16:27:28Z</dcterms:modified>
  <cp:category/>
  <cp:version/>
  <cp:contentType/>
  <cp:contentStatus/>
</cp:coreProperties>
</file>